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4250" activeTab="3"/>
  </bookViews>
  <sheets>
    <sheet name="Sheet1" sheetId="1" r:id="rId1"/>
    <sheet name="Chart1" sheetId="2" r:id="rId2"/>
    <sheet name="Gesamtenergiebedarf " sheetId="3" r:id="rId3"/>
    <sheet name="Diagramm GEB" sheetId="4" r:id="rId4"/>
  </sheets>
  <externalReferences>
    <externalReference r:id="rId7"/>
    <externalReference r:id="rId8"/>
  </externalReferences>
  <definedNames>
    <definedName name="_xlnm.Print_Area" localSheetId="2">'Gesamtenergiebedarf '!$B$2:$E$60</definedName>
  </definedNames>
  <calcPr fullCalcOnLoad="1"/>
</workbook>
</file>

<file path=xl/sharedStrings.xml><?xml version="1.0" encoding="utf-8"?>
<sst xmlns="http://schemas.openxmlformats.org/spreadsheetml/2006/main" count="359" uniqueCount="122">
  <si>
    <t>GEBÄUDEDATEN</t>
  </si>
  <si>
    <t>Fläche/Volumen</t>
  </si>
  <si>
    <t>Übrige Fassaden mit anderer Orientierung</t>
  </si>
  <si>
    <t>Horiz.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</si>
  <si>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</si>
  <si>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</si>
  <si>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</si>
  <si>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</si>
  <si>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</si>
  <si>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</si>
  <si>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</si>
  <si>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</si>
  <si>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</si>
  <si>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</si>
  <si>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</si>
  <si>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</si>
  <si>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</si>
  <si>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</si>
  <si>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</si>
  <si>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</si>
  <si>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t>Raum (24°C/50% r.F.)</t>
  </si>
  <si>
    <t>JAHRESKÜHLBEDARF</t>
  </si>
  <si>
    <t>total [kWh/a]</t>
  </si>
  <si>
    <t>Arbeiten</t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</si>
  <si>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</si>
  <si>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</si>
  <si>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</si>
  <si>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</si>
  <si>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</si>
  <si>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</si>
  <si>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</si>
  <si>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</si>
  <si>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</si>
  <si>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</si>
  <si>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</si>
  <si>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t>Bereiche mit Tageslicht</t>
  </si>
  <si>
    <t>Bereiche ohne Tageslicht</t>
  </si>
  <si>
    <t>Bestimmung des Tageslichtquotienten</t>
  </si>
  <si>
    <t>Personenzahl P</t>
  </si>
  <si>
    <t xml:space="preserve">             [kg/l]</t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</si>
  <si>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</si>
  <si>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</si>
  <si>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</si>
  <si>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</si>
  <si>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</si>
  <si>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</si>
  <si>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</si>
  <si>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</si>
  <si>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</si>
  <si>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</si>
  <si>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t>Jahresenergiebedarf für Bereich mit Tageslicht total [kWh/a]</t>
  </si>
  <si>
    <t>Jahresenergiebedarf für Bereich ohne Tageslicht total [kWh/a]</t>
  </si>
  <si>
    <t>Gesamtenergiebedarf</t>
  </si>
  <si>
    <t>Nutzfläche</t>
  </si>
  <si>
    <t>Bürogröße</t>
  </si>
  <si>
    <t>atlBreite</t>
  </si>
  <si>
    <t>atlTiefe</t>
  </si>
  <si>
    <t>ATL</t>
  </si>
  <si>
    <t>RestA</t>
  </si>
  <si>
    <t>Ag</t>
  </si>
  <si>
    <t>m²</t>
  </si>
  <si>
    <t>Himmelswinkel</t>
  </si>
  <si>
    <t>Lichttransmissivität</t>
  </si>
  <si>
    <t>Umschließungsflächen</t>
  </si>
  <si>
    <t>R-</t>
  </si>
  <si>
    <t>Aussenfester</t>
  </si>
  <si>
    <t>Aussenwand</t>
  </si>
  <si>
    <t>Innenwand</t>
  </si>
  <si>
    <t>Decke</t>
  </si>
  <si>
    <t>FB</t>
  </si>
  <si>
    <t>°</t>
  </si>
  <si>
    <t>hochselektives Sonnenschutzglas</t>
  </si>
  <si>
    <t>Tageslichtquotien</t>
  </si>
  <si>
    <t>%</t>
  </si>
  <si>
    <t>Af</t>
  </si>
  <si>
    <t>Betriebsstunden f. Kunstlicht</t>
  </si>
  <si>
    <t>Mehraufwand f. Beleuchtung</t>
  </si>
  <si>
    <t>Vergleich im Gesamten</t>
  </si>
  <si>
    <t>Heizlast</t>
  </si>
  <si>
    <t>Kühllast</t>
  </si>
  <si>
    <t>Gesamt</t>
  </si>
  <si>
    <t>Bei der aktuellen Fenstergröße</t>
  </si>
  <si>
    <t xml:space="preserve">Mehraufwand von </t>
  </si>
  <si>
    <t>kWh/a</t>
  </si>
  <si>
    <t>jedoch</t>
  </si>
  <si>
    <t>um</t>
  </si>
  <si>
    <t>geringerer Aufwand für Heizen und Kühlen</t>
  </si>
  <si>
    <r>
      <t>Nutzfläche NF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</si>
  <si>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</si>
  <si>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</si>
  <si>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0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</si>
  <si>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</si>
  <si>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>spezifisch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</si>
  <si>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C</t>
    </r>
    <r>
      <rPr>
        <vertAlign val="subscript"/>
        <sz val="10"/>
        <rFont val="Arial"/>
        <family val="0"/>
      </rPr>
      <t>p,Wasser</t>
    </r>
    <r>
      <rPr>
        <sz val="10"/>
        <rFont val="Arial"/>
        <family val="0"/>
      </rPr>
      <t xml:space="preserve"> [kJ/(kg*K)]</t>
    </r>
  </si>
  <si>
    <r>
      <t>Jahresenergiebedarf total, Q</t>
    </r>
    <r>
      <rPr>
        <vertAlign val="subscript"/>
        <sz val="10"/>
        <rFont val="Arial"/>
        <family val="0"/>
      </rPr>
      <t>WW</t>
    </r>
    <r>
      <rPr>
        <sz val="10"/>
        <rFont val="Arial"/>
        <family val="0"/>
      </rPr>
      <t xml:space="preserve"> [kWh/a]</t>
    </r>
  </si>
  <si>
    <r>
      <t>Jahresenergiebedarf spez., Q</t>
    </r>
    <r>
      <rPr>
        <vertAlign val="subscript"/>
        <sz val="10"/>
        <rFont val="Arial"/>
        <family val="0"/>
      </rPr>
      <t>WW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</si>
  <si>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>Jahresenergiebedarf spez., Q</t>
    </r>
    <r>
      <rPr>
        <vertAlign val="subscript"/>
        <sz val="10"/>
        <rFont val="Arial"/>
        <family val="0"/>
      </rPr>
      <t>WW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</si>
  <si>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Leistungsaufnahme P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[W]</t>
    </r>
  </si>
  <si>
    <r>
      <t xml:space="preserve">Jahresenergiebedarf total, E 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</si>
  <si>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</si>
  <si>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</si>
  <si>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Betriebsstunden Kunstlicht t</t>
    </r>
    <r>
      <rPr>
        <vertAlign val="subscript"/>
        <sz val="10"/>
        <rFont val="Arial"/>
        <family val="0"/>
      </rPr>
      <t>Betrieb,eff.</t>
    </r>
    <r>
      <rPr>
        <sz val="10"/>
        <rFont val="Arial"/>
        <family val="0"/>
      </rPr>
      <t xml:space="preserve"> [h]</t>
    </r>
  </si>
  <si>
    <r>
      <t>Fläche mit Tageslicht A</t>
    </r>
    <r>
      <rPr>
        <vertAlign val="subscript"/>
        <sz val="10"/>
        <rFont val="Arial"/>
        <family val="0"/>
      </rPr>
      <t>TL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</si>
  <si>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Spezifische Anschlussleistung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</si>
  <si>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Betriebsstunden Kunstlicht t</t>
    </r>
    <r>
      <rPr>
        <vertAlign val="subscript"/>
        <sz val="10"/>
        <rFont val="Arial"/>
        <family val="0"/>
      </rPr>
      <t xml:space="preserve">Betrieb </t>
    </r>
    <r>
      <rPr>
        <sz val="10"/>
        <rFont val="Arial"/>
        <family val="0"/>
      </rPr>
      <t>[h]</t>
    </r>
  </si>
  <si>
    <r>
      <t>Fläche ohne Tageslicht A</t>
    </r>
    <r>
      <rPr>
        <vertAlign val="subscript"/>
        <sz val="10"/>
        <rFont val="Arial"/>
        <family val="0"/>
      </rPr>
      <t xml:space="preserve">OTL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</si>
  <si>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 xml:space="preserve">Jahresenergiebedarf Kunstlicht total, E </t>
    </r>
    <r>
      <rPr>
        <vertAlign val="subscript"/>
        <sz val="10"/>
        <rFont val="Arial"/>
        <family val="0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</si>
  <si>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0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</si>
  <si>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0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</si>
  <si>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I</t>
    </r>
    <r>
      <rPr>
        <b/>
        <vertAlign val="subscript"/>
        <sz val="10"/>
        <rFont val="Arial"/>
        <family val="0"/>
      </rPr>
      <t>max</t>
    </r>
    <r>
      <rPr>
        <b/>
        <sz val="10"/>
        <rFont val="Arial"/>
        <family val="0"/>
      </rPr>
      <t xml:space="preserve"> für alle Orte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</si>
  <si>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=b</t>
    </r>
    <r>
      <rPr>
        <b/>
        <vertAlign val="subscript"/>
        <sz val="10"/>
        <rFont val="Arial"/>
        <family val="0"/>
      </rPr>
      <t>1</t>
    </r>
    <r>
      <rPr>
        <b/>
        <sz val="10"/>
        <rFont val="Arial"/>
        <family val="0"/>
      </rPr>
      <t>*b</t>
    </r>
    <r>
      <rPr>
        <b/>
        <vertAlign val="subscript"/>
        <sz val="10"/>
        <rFont val="Arial"/>
        <family val="0"/>
      </rPr>
      <t>2</t>
    </r>
  </si>
  <si>
    <r>
      <t>Gläser b</t>
    </r>
    <r>
      <rPr>
        <b/>
        <vertAlign val="subscript"/>
        <sz val="10"/>
        <rFont val="Arial"/>
        <family val="0"/>
      </rPr>
      <t>1</t>
    </r>
  </si>
  <si>
    <r>
      <t>Sonnenschutz b</t>
    </r>
    <r>
      <rPr>
        <b/>
        <vertAlign val="subscript"/>
        <sz val="10"/>
        <rFont val="Arial"/>
        <family val="0"/>
      </rPr>
      <t>2</t>
    </r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</si>
  <si>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</si>
  <si>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</si>
  <si>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r>
      <t>Volllaststunden Kühlung h</t>
    </r>
    <r>
      <rPr>
        <b/>
        <vertAlign val="subscript"/>
        <sz val="10"/>
        <rFont val="Arial"/>
        <family val="0"/>
      </rPr>
      <t>V,K</t>
    </r>
    <r>
      <rPr>
        <b/>
        <sz val="10"/>
        <rFont val="Arial"/>
        <family val="0"/>
      </rPr>
      <t xml:space="preserve"> [h/a]   </t>
    </r>
    <r>
      <rPr>
        <sz val="10"/>
        <rFont val="Arial"/>
        <family val="0"/>
      </rPr>
      <t xml:space="preserve">                       </t>
    </r>
  </si>
  <si>
    <r>
      <t>spezifische innere Wärmeabgaben [W/m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]</t>
    </r>
  </si>
  <si>
    <r>
      <t>spezifische sensible Wärmeabgabe Mensch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</si>
  <si>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</si>
  <si>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</si>
  <si>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t>Erzeugte Energie Photovoltaik</t>
  </si>
  <si>
    <t>(BRI * 0.7)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</si>
</sst>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#.##0\ &quot;kWh/a&quot;"/>
    <numFmt numFmtId="167" formatCode="General\ &quot;kWh/m²a&quot;"/>
    <numFmt numFmtId="168" formatCode="###,###,###\ &quot;m²&quot;"/>
    <numFmt numFmtId="169" formatCode="###,###,###\ &quot;kWh/a&quot;"/>
    <numFmt numFmtId="170" formatCode="###,###,###\ &quot;MWh/a&quot;"/>
    <numFmt numFmtId="171" formatCode="###,###,###\ &quot;kWh/m²a&quot;"/>
    <numFmt numFmtId="172" formatCode="General\ &quot;m²&quot;"/>
    <numFmt numFmtId="173" formatCode="0.0%"/>
    <numFmt numFmtId="174" formatCode="#\ &quot;kWh/a&quot;"/>
    <numFmt numFmtId="175" formatCode="#.##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  <font>
      <sz val="10"/>
      <color indexed="9"/>
      <name val="Arial"/>
      <family val="0"/>
    </font>
    <font>
      <vertAlign val="superscript"/>
      <sz val="10"/>
      <name val="Arial"/>
      <family val="0"/>
    </font>
    <font>
      <vertAlign val="subscript"/>
      <sz val="10"/>
      <name val="Arial"/>
      <family val="0"/>
    </font>
    <font>
      <b/>
      <vertAlign val="subscript"/>
      <sz val="10"/>
      <name val="Arial"/>
      <family val="0"/>
    </font>
    <font>
      <b/>
      <vertAlign val="superscript"/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b/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0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1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10" fontId="0" fillId="3" borderId="22" xfId="0" applyNumberFormat="1" applyFill="1" applyBorder="1" applyAlignment="1">
      <alignment/>
    </xf>
    <xf numFmtId="0" fontId="2" fillId="3" borderId="23" xfId="0" applyFont="1" applyFill="1" applyBorder="1" applyAlignment="1">
      <alignment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2" fillId="3" borderId="24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29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3" borderId="29" xfId="0" applyNumberFormat="1" applyFont="1" applyFill="1" applyBorder="1" applyAlignment="1">
      <alignment/>
    </xf>
    <xf numFmtId="0" fontId="0" fillId="4" borderId="30" xfId="0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3" fontId="2" fillId="3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4" borderId="7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36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64" fontId="0" fillId="3" borderId="2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64" fontId="0" fillId="3" borderId="37" xfId="0" applyNumberFormat="1" applyFon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"/>
    </xf>
    <xf numFmtId="3" fontId="0" fillId="3" borderId="37" xfId="0" applyNumberFormat="1" applyFont="1" applyFill="1" applyBorder="1" applyAlignment="1">
      <alignment horizontal="center"/>
    </xf>
    <xf numFmtId="164" fontId="0" fillId="4" borderId="16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3" fontId="0" fillId="3" borderId="16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2" fillId="4" borderId="38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3" fontId="0" fillId="3" borderId="39" xfId="0" applyNumberFormat="1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3" fontId="0" fillId="3" borderId="40" xfId="0" applyNumberFormat="1" applyFont="1" applyFill="1" applyBorder="1" applyAlignment="1">
      <alignment horizontal="center"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2" fillId="4" borderId="8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0" xfId="0" applyFont="1" applyAlignment="1">
      <alignment/>
    </xf>
    <xf numFmtId="0" fontId="2" fillId="4" borderId="8" xfId="0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2" fontId="0" fillId="0" borderId="1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2" fontId="0" fillId="0" borderId="37" xfId="0" applyNumberFormat="1" applyFont="1" applyBorder="1" applyAlignment="1">
      <alignment horizontal="center"/>
    </xf>
    <xf numFmtId="0" fontId="0" fillId="4" borderId="44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9" xfId="0" applyFont="1" applyFill="1" applyBorder="1" applyAlignment="1">
      <alignment horizontal="left"/>
    </xf>
    <xf numFmtId="0" fontId="0" fillId="3" borderId="43" xfId="0" applyFont="1" applyFill="1" applyBorder="1" applyAlignment="1">
      <alignment/>
    </xf>
    <xf numFmtId="0" fontId="0" fillId="3" borderId="50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3" borderId="48" xfId="0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5" borderId="54" xfId="0" applyFont="1" applyFill="1" applyBorder="1" applyAlignment="1">
      <alignment/>
    </xf>
    <xf numFmtId="0" fontId="0" fillId="5" borderId="36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left" wrapText="1"/>
    </xf>
    <xf numFmtId="0" fontId="2" fillId="4" borderId="44" xfId="0" applyFont="1" applyFill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5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5" borderId="38" xfId="0" applyFont="1" applyFill="1" applyBorder="1" applyAlignment="1">
      <alignment horizontal="left"/>
    </xf>
    <xf numFmtId="0" fontId="2" fillId="5" borderId="44" xfId="0" applyFont="1" applyFill="1" applyBorder="1" applyAlignment="1">
      <alignment horizontal="left"/>
    </xf>
    <xf numFmtId="3" fontId="0" fillId="3" borderId="46" xfId="0" applyNumberFormat="1" applyFont="1" applyFill="1" applyBorder="1" applyAlignment="1">
      <alignment horizontal="left"/>
    </xf>
    <xf numFmtId="3" fontId="0" fillId="3" borderId="47" xfId="0" applyNumberFormat="1" applyFont="1" applyFill="1" applyBorder="1" applyAlignment="1">
      <alignment horizontal="left"/>
    </xf>
    <xf numFmtId="0" fontId="2" fillId="4" borderId="45" xfId="0" applyFont="1" applyFill="1" applyBorder="1" applyAlignment="1">
      <alignment horizontal="left" wrapText="1"/>
    </xf>
    <xf numFmtId="0" fontId="0" fillId="3" borderId="50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Energiebilanz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'Gesamtenergiebedarf '!$C$187</c:f>
              <c:strCache>
                <c:ptCount val="1"/>
                <c:pt idx="0">
                  <c:v>Gesamtenergiebedarf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'!$D$187</c:f>
              <c:numCache>
                <c:ptCount val="1"/>
                <c:pt idx="0">
                  <c:v>421876</c:v>
                </c:pt>
              </c:numCache>
            </c:numRef>
          </c:val>
        </c:ser>
        <c:ser>
          <c:idx val="1"/>
          <c:order val="1"/>
          <c:tx>
            <c:strRef>
              <c:f>'Gesamtenergiebedarf '!$C$188</c:f>
              <c:strCache>
                <c:ptCount val="1"/>
                <c:pt idx="0">
                  <c:v>Erzeugte Energie Photovoltaik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'!$D$188</c:f>
              <c:numCache>
                <c:ptCount val="1"/>
                <c:pt idx="0">
                  <c:v>488012.00000000006</c:v>
                </c:pt>
              </c:numCache>
            </c:numRef>
          </c:val>
        </c:ser>
        <c:axId val="61629742"/>
        <c:axId val="46510255"/>
      </c:barChart>
      <c:catAx>
        <c:axId val="61629742"/>
        <c:scaling>
          <c:orientation val="minMax"/>
        </c:scaling>
        <c:axPos val="b"/>
        <c:delete val="1"/>
        <c:majorTickMark val="out"/>
        <c:minorTickMark val="none"/>
        <c:tickLblPos val="nextTo"/>
        <c:crossAx val="46510255"/>
        <c:crosses val="autoZero"/>
        <c:auto val="1"/>
        <c:lblOffset val="100"/>
        <c:noMultiLvlLbl val="0"/>
      </c:catAx>
      <c:valAx>
        <c:axId val="46510255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29742"/>
        <c:crossesAt val="1"/>
        <c:crossBetween val="between"/>
        <c:dispUnits/>
        <c:majorUnit val="100000"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3"/>
          <c:w val="0.83075"/>
          <c:h val="0.96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'!$C$20</c:f>
              <c:numCache>
                <c:ptCount val="1"/>
                <c:pt idx="0">
                  <c:v>26.145213263888895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'!$C$25</c:f>
              <c:numCache>
                <c:ptCount val="1"/>
                <c:pt idx="0">
                  <c:v>23.318478571428574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'!$C$35</c:f>
              <c:numCache>
                <c:ptCount val="1"/>
                <c:pt idx="0">
                  <c:v>7.222222222222222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'!$C$43</c:f>
              <c:numCache>
                <c:ptCount val="1"/>
                <c:pt idx="0">
                  <c:v>17.842222222222222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'!$C$60</c:f>
              <c:numCache>
                <c:ptCount val="1"/>
                <c:pt idx="0">
                  <c:v>16.978458049886623</c:v>
                </c:pt>
              </c:numCache>
            </c:numRef>
          </c:val>
        </c:ser>
        <c:overlap val="100"/>
        <c:gapWidth val="430"/>
        <c:axId val="3267696"/>
        <c:axId val="11073649"/>
      </c:barChart>
      <c:catAx>
        <c:axId val="3267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073649"/>
        <c:crosses val="autoZero"/>
        <c:auto val="1"/>
        <c:lblOffset val="100"/>
        <c:noMultiLvlLbl val="0"/>
      </c:catAx>
      <c:valAx>
        <c:axId val="11073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326769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7825"/>
          <c:y val="0.4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38600" y="21097875"/>
          <a:ext cx="369570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543550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38600" y="22907625"/>
          <a:ext cx="52959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534025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48125" y="24945975"/>
          <a:ext cx="2152650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48125" y="25936575"/>
          <a:ext cx="471487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81153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0.58275</cdr:x>
      <cdr:y>0.28025</cdr:y>
    </cdr:from>
    <cdr:to>
      <cdr:x>0.63175</cdr:x>
      <cdr:y>0.4425</cdr:y>
    </cdr:to>
    <cdr:sp>
      <cdr:nvSpPr>
        <cdr:cNvPr id="1" name="Rectangle 10"/>
        <cdr:cNvSpPr>
          <a:spLocks/>
        </cdr:cNvSpPr>
      </cdr:nvSpPr>
      <cdr:spPr>
        <a:xfrm>
          <a:off x="5010150" y="1666875"/>
          <a:ext cx="419100" cy="971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0.534</cdr:x>
      <cdr:y>0.12375</cdr:y>
    </cdr:from>
    <cdr:to>
      <cdr:x>0.58275</cdr:x>
      <cdr:y>0.96125</cdr:y>
    </cdr:to>
    <cdr:sp>
      <cdr:nvSpPr>
        <cdr:cNvPr id="2" name="Rectangle 4"/>
        <cdr:cNvSpPr>
          <a:spLocks/>
        </cdr:cNvSpPr>
      </cdr:nvSpPr>
      <cdr:spPr>
        <a:xfrm>
          <a:off x="4591050" y="733425"/>
          <a:ext cx="419100" cy="49911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0.5055</cdr:y>
    </cdr:from>
    <cdr:to>
      <cdr:x>0.63175</cdr:x>
      <cdr:y>0.96075</cdr:y>
    </cdr:to>
    <cdr:sp>
      <cdr:nvSpPr>
        <cdr:cNvPr id="3" name="Rectangle 6"/>
        <cdr:cNvSpPr>
          <a:spLocks/>
        </cdr:cNvSpPr>
      </cdr:nvSpPr>
      <cdr:spPr>
        <a:xfrm>
          <a:off x="5010150" y="3009900"/>
          <a:ext cx="419100" cy="27146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0.28025</cdr:y>
    </cdr:from>
    <cdr:to>
      <cdr:x>0.67975</cdr:x>
      <cdr:y>0.4425</cdr:y>
    </cdr:to>
    <cdr:sp>
      <cdr:nvSpPr>
        <cdr:cNvPr id="4" name="Rectangle 8"/>
        <cdr:cNvSpPr>
          <a:spLocks/>
        </cdr:cNvSpPr>
      </cdr:nvSpPr>
      <cdr:spPr>
        <a:xfrm>
          <a:off x="5438775" y="1666875"/>
          <a:ext cx="409575" cy="971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0.6805</cdr:x>
      <cdr:y>0.4425</cdr:y>
    </cdr:from>
    <cdr:to>
      <cdr:x>0.7285</cdr:x>
      <cdr:y>0.50625</cdr:y>
    </cdr:to>
    <cdr:sp>
      <cdr:nvSpPr>
        <cdr:cNvPr id="5" name="Rectangle 13"/>
        <cdr:cNvSpPr>
          <a:spLocks/>
        </cdr:cNvSpPr>
      </cdr:nvSpPr>
      <cdr:spPr>
        <a:xfrm>
          <a:off x="5857875" y="2638425"/>
          <a:ext cx="409575" cy="3810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0.5055</cdr:y>
    </cdr:from>
    <cdr:to>
      <cdr:x>0.67975</cdr:x>
      <cdr:y>0.71775</cdr:y>
    </cdr:to>
    <cdr:sp>
      <cdr:nvSpPr>
        <cdr:cNvPr id="6" name="Rectangle 15"/>
        <cdr:cNvSpPr>
          <a:spLocks/>
        </cdr:cNvSpPr>
      </cdr:nvSpPr>
      <cdr:spPr>
        <a:xfrm>
          <a:off x="5438775" y="3009900"/>
          <a:ext cx="409575" cy="12668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0.42825</cdr:x>
      <cdr:y>0.96925</cdr:y>
    </cdr:from>
    <cdr:to>
      <cdr:x>0.4645</cdr:x>
      <cdr:y>0.997</cdr:y>
    </cdr:to>
    <cdr:sp>
      <cdr:nvSpPr>
        <cdr:cNvPr id="7" name="Rectangle 1"/>
        <cdr:cNvSpPr>
          <a:spLocks/>
        </cdr:cNvSpPr>
      </cdr:nvSpPr>
      <cdr:spPr>
        <a:xfrm>
          <a:off x="3686175" y="57721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0.5095</cdr:x>
      <cdr:y>0.05825</cdr:y>
    </cdr:from>
    <cdr:to>
      <cdr:x>0.7985</cdr:x>
      <cdr:y>0.102</cdr:y>
    </cdr:to>
    <cdr:sp>
      <cdr:nvSpPr>
        <cdr:cNvPr id="8" name="TextBox 2"/>
        <cdr:cNvSpPr txBox="1">
          <a:spLocks noChangeArrowheads="1"/>
        </cdr:cNvSpPr>
      </cdr:nvSpPr>
      <cdr:spPr>
        <a:xfrm>
          <a:off x="4381500" y="342900"/>
          <a:ext cx="2486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Energieabdeckung durch:
</a:t>
          </a:r>
        </a:p>
      </cdr:txBody>
    </cdr:sp>
  </cdr:relSizeAnchor>
  <cdr:relSizeAnchor xmlns:cdr="http://schemas.openxmlformats.org/drawingml/2006/chartDrawing">
    <cdr:from>
      <cdr:x>0.53475</cdr:x>
      <cdr:y>0.10225</cdr:y>
    </cdr:from>
    <cdr:to>
      <cdr:x>0.5835</cdr:x>
      <cdr:y>0.96025</cdr:y>
    </cdr:to>
    <cdr:sp>
      <cdr:nvSpPr>
        <cdr:cNvPr id="9" name="TextBox 5"/>
        <cdr:cNvSpPr txBox="1">
          <a:spLocks noChangeArrowheads="1"/>
        </cdr:cNvSpPr>
      </cdr:nvSpPr>
      <cdr:spPr>
        <a:xfrm>
          <a:off x="4600575" y="609600"/>
          <a:ext cx="419100" cy="511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Photovoltaikanlage 1934 m² (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=14%) =&gt; ~ 103,9% erzeugte Energie</a:t>
          </a:r>
        </a:p>
      </cdr:txBody>
    </cdr:sp>
  </cdr:relSizeAnchor>
  <cdr:relSizeAnchor xmlns:cdr="http://schemas.openxmlformats.org/drawingml/2006/chartDrawing">
    <cdr:from>
      <cdr:x>0.5835</cdr:x>
      <cdr:y>0.1235</cdr:y>
    </cdr:from>
    <cdr:to>
      <cdr:x>0.6315</cdr:x>
      <cdr:y>0.961</cdr:y>
    </cdr:to>
    <cdr:sp>
      <cdr:nvSpPr>
        <cdr:cNvPr id="10" name="TextBox 7"/>
        <cdr:cNvSpPr txBox="1">
          <a:spLocks noChangeArrowheads="1"/>
        </cdr:cNvSpPr>
      </cdr:nvSpPr>
      <cdr:spPr>
        <a:xfrm>
          <a:off x="5019675" y="733425"/>
          <a:ext cx="409575" cy="499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Erdkanal Ansaugung feuchter Luft über Biotop</a:t>
          </a:r>
        </a:p>
      </cdr:txBody>
    </cdr:sp>
  </cdr:relSizeAnchor>
  <cdr:relSizeAnchor xmlns:cdr="http://schemas.openxmlformats.org/drawingml/2006/chartDrawing">
    <cdr:from>
      <cdr:x>0.6805</cdr:x>
      <cdr:y>0.1235</cdr:y>
    </cdr:from>
    <cdr:to>
      <cdr:x>0.7285</cdr:x>
      <cdr:y>0.96075</cdr:y>
    </cdr:to>
    <cdr:sp>
      <cdr:nvSpPr>
        <cdr:cNvPr id="11" name="TextBox 9"/>
        <cdr:cNvSpPr txBox="1">
          <a:spLocks noChangeArrowheads="1"/>
        </cdr:cNvSpPr>
      </cdr:nvSpPr>
      <cdr:spPr>
        <a:xfrm>
          <a:off x="5857875" y="733425"/>
          <a:ext cx="409575" cy="499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Sonnenkolektoren  500 m² =&gt; für 500           Personen (15 l/d)</a:t>
          </a:r>
        </a:p>
      </cdr:txBody>
    </cdr:sp>
  </cdr:relSizeAnchor>
  <cdr:relSizeAnchor xmlns:cdr="http://schemas.openxmlformats.org/drawingml/2006/chartDrawing">
    <cdr:from>
      <cdr:x>0.58275</cdr:x>
      <cdr:y>0.12375</cdr:y>
    </cdr:from>
    <cdr:to>
      <cdr:x>0.63175</cdr:x>
      <cdr:y>0.96075</cdr:y>
    </cdr:to>
    <cdr:sp>
      <cdr:nvSpPr>
        <cdr:cNvPr id="12" name="Rectangle 11"/>
        <cdr:cNvSpPr>
          <a:spLocks/>
        </cdr:cNvSpPr>
      </cdr:nvSpPr>
      <cdr:spPr>
        <a:xfrm>
          <a:off x="5010150" y="733425"/>
          <a:ext cx="419100" cy="499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0.12375</cdr:y>
    </cdr:from>
    <cdr:to>
      <cdr:x>0.68125</cdr:x>
      <cdr:y>0.96075</cdr:y>
    </cdr:to>
    <cdr:sp>
      <cdr:nvSpPr>
        <cdr:cNvPr id="13" name="Rectangle 12"/>
        <cdr:cNvSpPr>
          <a:spLocks/>
        </cdr:cNvSpPr>
      </cdr:nvSpPr>
      <cdr:spPr>
        <a:xfrm>
          <a:off x="5438775" y="733425"/>
          <a:ext cx="428625" cy="499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0.67975</cdr:x>
      <cdr:y>0.12375</cdr:y>
    </cdr:from>
    <cdr:to>
      <cdr:x>0.7285</cdr:x>
      <cdr:y>0.96075</cdr:y>
    </cdr:to>
    <cdr:sp>
      <cdr:nvSpPr>
        <cdr:cNvPr id="14" name="Rectangle 14"/>
        <cdr:cNvSpPr>
          <a:spLocks/>
        </cdr:cNvSpPr>
      </cdr:nvSpPr>
      <cdr:spPr>
        <a:xfrm>
          <a:off x="5848350" y="733425"/>
          <a:ext cx="419100" cy="499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0.1225</cdr:y>
    </cdr:from>
    <cdr:to>
      <cdr:x>0.6815</cdr:x>
      <cdr:y>0.9605</cdr:y>
    </cdr:to>
    <cdr:sp>
      <cdr:nvSpPr>
        <cdr:cNvPr id="15" name="TextBox 16"/>
        <cdr:cNvSpPr txBox="1">
          <a:spLocks noChangeArrowheads="1"/>
        </cdr:cNvSpPr>
      </cdr:nvSpPr>
      <cdr:spPr>
        <a:xfrm>
          <a:off x="5448300" y="723900"/>
          <a:ext cx="419100" cy="500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Nachtlüftung über Atrium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E\Warmebedarfsabsch&#228;tzung_AuE_06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24\Desktop\AuE\Lehm_Herstellungsenergie_Photovolta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ühlbedarf_3G"/>
      <sheetName val="Kühlbedarf_4G"/>
      <sheetName val="Summe_Kühl"/>
      <sheetName val="Wärme_3G"/>
      <sheetName val="Wärme_4G"/>
      <sheetName val="Summe_Wärme"/>
    </sheetNames>
    <sheetDataSet>
      <sheetData sheetId="2">
        <row r="53">
          <cell r="C53">
            <v>117525.13200000001</v>
          </cell>
        </row>
      </sheetData>
      <sheetData sheetId="5">
        <row r="6">
          <cell r="C6">
            <v>4200</v>
          </cell>
        </row>
        <row r="7">
          <cell r="C7">
            <v>5040</v>
          </cell>
        </row>
        <row r="8">
          <cell r="C8">
            <v>31080</v>
          </cell>
        </row>
        <row r="9">
          <cell r="C9">
            <v>21756</v>
          </cell>
        </row>
        <row r="37">
          <cell r="C37">
            <v>131771.87485000002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hm_Herstellungsenergie"/>
      <sheetName val="Photovoltaik"/>
      <sheetName val="Berechnung_Photovoltaik"/>
    </sheetNames>
    <sheetDataSet>
      <sheetData sheetId="2">
        <row r="56">
          <cell r="E56">
            <v>488012.00000000006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8:P127"/>
  <sheetViews>
    <sheetView workbookViewId="0" topLeftCell="F16">
      <selection activeCell="G112" sqref="G112:H121"/>
    </sheetView>
  </sheetViews>
  <sheetFormatPr defaultColWidth="11.421875" defaultRowHeight="12.75"/>
  <cols>
    <col min="1" max="4" width="9.140625" style="0" customWidth="1"/>
    <col min="5" max="5" width="29.7109375" style="0" bestFit="1" customWidth="1"/>
    <col min="6" max="6" width="9.140625" style="0" customWidth="1"/>
    <col min="7" max="7" width="20.140625" style="0" bestFit="1" customWidth="1"/>
    <col min="8" max="8" width="12.00390625" style="0" bestFit="1" customWidth="1"/>
    <col min="9" max="9" width="16.140625" style="0" bestFit="1" customWidth="1"/>
    <col min="10" max="10" width="20.28125" style="0" bestFit="1" customWidth="1"/>
    <col min="11" max="11" width="9.140625" style="0" customWidth="1"/>
    <col min="12" max="12" width="11.8515625" style="0" bestFit="1" customWidth="1"/>
    <col min="13" max="16384" width="9.140625" style="0" customWidth="1"/>
  </cols>
  <sheetData>
    <row r="7" ht="13.5" thickBot="1"/>
    <row r="8" spans="5:16" ht="12.75">
      <c r="E8" s="9"/>
      <c r="F8" s="6"/>
      <c r="G8" s="6" t="s">
        <v>59</v>
      </c>
      <c r="H8" s="6">
        <f>M8*0.9</f>
        <v>6.3</v>
      </c>
      <c r="I8" s="6" t="s">
        <v>60</v>
      </c>
      <c r="J8" s="6"/>
      <c r="K8" s="6"/>
      <c r="L8" s="6" t="s">
        <v>65</v>
      </c>
      <c r="M8" s="6">
        <f>2.5*2.8</f>
        <v>7</v>
      </c>
      <c r="N8" s="6" t="s">
        <v>60</v>
      </c>
      <c r="O8" s="6">
        <v>0.06</v>
      </c>
      <c r="P8" s="10">
        <f>O8*M8</f>
        <v>0.42</v>
      </c>
    </row>
    <row r="9" spans="5:16" ht="12.75">
      <c r="E9" s="3"/>
      <c r="F9" s="2"/>
      <c r="G9" s="2" t="s">
        <v>61</v>
      </c>
      <c r="H9" s="2">
        <v>66</v>
      </c>
      <c r="I9" s="2" t="s">
        <v>70</v>
      </c>
      <c r="J9" s="2"/>
      <c r="K9" s="2"/>
      <c r="L9" s="2" t="s">
        <v>66</v>
      </c>
      <c r="M9" s="2">
        <f>7*4-M8</f>
        <v>21</v>
      </c>
      <c r="N9" s="2" t="s">
        <v>60</v>
      </c>
      <c r="O9" s="2">
        <v>0.5</v>
      </c>
      <c r="P9" s="11">
        <f>O9*M9</f>
        <v>10.5</v>
      </c>
    </row>
    <row r="10" spans="5:16" ht="12.75">
      <c r="E10" s="3" t="s">
        <v>71</v>
      </c>
      <c r="F10" s="2"/>
      <c r="G10" s="2" t="s">
        <v>62</v>
      </c>
      <c r="H10" s="2">
        <v>0.73</v>
      </c>
      <c r="I10" s="2">
        <v>0.73</v>
      </c>
      <c r="J10" s="2"/>
      <c r="K10" s="2"/>
      <c r="L10" s="2" t="s">
        <v>67</v>
      </c>
      <c r="M10" s="2">
        <f>2*5*4+7*4</f>
        <v>68</v>
      </c>
      <c r="N10" s="2" t="s">
        <v>60</v>
      </c>
      <c r="O10" s="2">
        <v>0.5</v>
      </c>
      <c r="P10" s="11">
        <f>O10*M10</f>
        <v>34</v>
      </c>
    </row>
    <row r="11" spans="5:16" ht="12.75">
      <c r="E11" s="3"/>
      <c r="F11" s="2"/>
      <c r="G11" s="2" t="s">
        <v>63</v>
      </c>
      <c r="H11" s="2">
        <f>M13</f>
        <v>166</v>
      </c>
      <c r="I11" s="2" t="s">
        <v>60</v>
      </c>
      <c r="J11" s="2"/>
      <c r="K11" s="2"/>
      <c r="L11" s="2" t="s">
        <v>68</v>
      </c>
      <c r="M11" s="2">
        <f>7*5</f>
        <v>35</v>
      </c>
      <c r="N11" s="2" t="s">
        <v>60</v>
      </c>
      <c r="O11" s="2">
        <v>0.7</v>
      </c>
      <c r="P11" s="11">
        <f>O11*M11</f>
        <v>24.5</v>
      </c>
    </row>
    <row r="12" spans="5:16" ht="12.75">
      <c r="E12" s="3"/>
      <c r="F12" s="2"/>
      <c r="G12" s="2" t="s">
        <v>64</v>
      </c>
      <c r="H12" s="2">
        <f>M15</f>
        <v>0.46036144578313254</v>
      </c>
      <c r="I12" s="2"/>
      <c r="J12" s="2"/>
      <c r="K12" s="2"/>
      <c r="L12" s="2" t="s">
        <v>69</v>
      </c>
      <c r="M12" s="2">
        <f>7*5</f>
        <v>35</v>
      </c>
      <c r="N12" s="2" t="s">
        <v>60</v>
      </c>
      <c r="O12" s="2">
        <v>0.2</v>
      </c>
      <c r="P12" s="11">
        <f>O12*M12</f>
        <v>7</v>
      </c>
    </row>
    <row r="13" spans="5:16" ht="12.75">
      <c r="E13" s="3"/>
      <c r="F13" s="2"/>
      <c r="G13" s="2"/>
      <c r="H13" s="2"/>
      <c r="I13" s="2"/>
      <c r="J13" s="2"/>
      <c r="K13" s="2"/>
      <c r="L13" s="2"/>
      <c r="M13" s="2">
        <f>SUM(M8:M12)</f>
        <v>166</v>
      </c>
      <c r="N13" s="2"/>
      <c r="O13" s="2"/>
      <c r="P13" s="11">
        <f>SUM(P8:P12)</f>
        <v>76.42</v>
      </c>
    </row>
    <row r="14" spans="5:16" ht="12.75"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11"/>
    </row>
    <row r="15" spans="5:16" ht="13.5" thickBot="1">
      <c r="E15" s="4"/>
      <c r="F15" s="5"/>
      <c r="G15" s="5" t="s">
        <v>72</v>
      </c>
      <c r="H15" s="5">
        <f>(H8*H9*H10)/(H11*(1-H12^2))</f>
        <v>2.3202561269202655</v>
      </c>
      <c r="I15" s="5" t="s">
        <v>73</v>
      </c>
      <c r="J15" s="5"/>
      <c r="K15" s="5"/>
      <c r="L15" s="5" t="s">
        <v>64</v>
      </c>
      <c r="M15" s="5">
        <f>P13/M13</f>
        <v>0.46036144578313254</v>
      </c>
      <c r="N15" s="5"/>
      <c r="O15" s="5"/>
      <c r="P15" s="12"/>
    </row>
    <row r="19" ht="13.5" thickBot="1"/>
    <row r="20" spans="5:16" ht="12.75">
      <c r="E20" s="9"/>
      <c r="F20" s="6"/>
      <c r="G20" s="6" t="s">
        <v>59</v>
      </c>
      <c r="H20" s="6">
        <f>M20*0.9</f>
        <v>6.3</v>
      </c>
      <c r="I20" s="6" t="s">
        <v>60</v>
      </c>
      <c r="J20" s="6"/>
      <c r="K20" s="6"/>
      <c r="L20" s="6" t="s">
        <v>65</v>
      </c>
      <c r="M20" s="6">
        <v>7</v>
      </c>
      <c r="N20" s="6" t="s">
        <v>60</v>
      </c>
      <c r="O20" s="6">
        <v>0.06</v>
      </c>
      <c r="P20" s="10">
        <f>O20*M20</f>
        <v>0.42</v>
      </c>
    </row>
    <row r="21" spans="5:16" ht="12.75">
      <c r="E21" s="3"/>
      <c r="F21" s="2"/>
      <c r="G21" s="2" t="s">
        <v>61</v>
      </c>
      <c r="H21" s="13">
        <v>80</v>
      </c>
      <c r="I21" s="2" t="s">
        <v>70</v>
      </c>
      <c r="J21" s="2"/>
      <c r="K21" s="2"/>
      <c r="L21" s="2" t="s">
        <v>66</v>
      </c>
      <c r="M21" s="2">
        <f>7*4-M20</f>
        <v>21</v>
      </c>
      <c r="N21" s="2" t="s">
        <v>60</v>
      </c>
      <c r="O21" s="2">
        <v>0.5</v>
      </c>
      <c r="P21" s="11">
        <f>O21*M21</f>
        <v>10.5</v>
      </c>
    </row>
    <row r="22" spans="5:16" ht="12.75">
      <c r="E22" s="3" t="s">
        <v>71</v>
      </c>
      <c r="F22" s="2"/>
      <c r="G22" s="2" t="s">
        <v>62</v>
      </c>
      <c r="H22" s="13">
        <v>0.9</v>
      </c>
      <c r="I22" s="2">
        <v>0.73</v>
      </c>
      <c r="J22" s="2"/>
      <c r="K22" s="2"/>
      <c r="L22" s="2" t="s">
        <v>67</v>
      </c>
      <c r="M22" s="2">
        <f>2*5*4+7*4</f>
        <v>68</v>
      </c>
      <c r="N22" s="2" t="s">
        <v>60</v>
      </c>
      <c r="O22" s="2">
        <v>0.5</v>
      </c>
      <c r="P22" s="11">
        <f>O22*M22</f>
        <v>34</v>
      </c>
    </row>
    <row r="23" spans="5:16" ht="12.75">
      <c r="E23" s="3"/>
      <c r="F23" s="2"/>
      <c r="G23" s="2" t="s">
        <v>63</v>
      </c>
      <c r="H23" s="2">
        <f>M25</f>
        <v>166</v>
      </c>
      <c r="I23" s="2" t="s">
        <v>60</v>
      </c>
      <c r="J23" s="2"/>
      <c r="K23" s="2"/>
      <c r="L23" s="2" t="s">
        <v>68</v>
      </c>
      <c r="M23" s="2">
        <f>7*5</f>
        <v>35</v>
      </c>
      <c r="N23" s="2" t="s">
        <v>60</v>
      </c>
      <c r="O23" s="2">
        <v>0.7</v>
      </c>
      <c r="P23" s="11">
        <f>O23*M23</f>
        <v>24.5</v>
      </c>
    </row>
    <row r="24" spans="5:16" ht="12.75">
      <c r="E24" s="3"/>
      <c r="F24" s="2"/>
      <c r="G24" s="2" t="s">
        <v>64</v>
      </c>
      <c r="H24" s="2">
        <f>M27</f>
        <v>0.46036144578313254</v>
      </c>
      <c r="I24" s="2"/>
      <c r="J24" s="2"/>
      <c r="K24" s="2"/>
      <c r="L24" s="2" t="s">
        <v>69</v>
      </c>
      <c r="M24" s="2">
        <f>7*5</f>
        <v>35</v>
      </c>
      <c r="N24" s="2" t="s">
        <v>60</v>
      </c>
      <c r="O24" s="2">
        <v>0.2</v>
      </c>
      <c r="P24" s="11">
        <f>O24*M24</f>
        <v>7</v>
      </c>
    </row>
    <row r="25" spans="5:16" ht="12.75">
      <c r="E25" s="3"/>
      <c r="F25" s="2"/>
      <c r="G25" s="2"/>
      <c r="H25" s="2"/>
      <c r="I25" s="2"/>
      <c r="J25" s="2"/>
      <c r="K25" s="2"/>
      <c r="L25" s="2"/>
      <c r="M25" s="2">
        <f>SUM(M20:M24)</f>
        <v>166</v>
      </c>
      <c r="N25" s="2"/>
      <c r="O25" s="2"/>
      <c r="P25" s="11">
        <f>SUM(P20:P24)</f>
        <v>76.42</v>
      </c>
    </row>
    <row r="26" spans="5:16" ht="12.75"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11"/>
    </row>
    <row r="27" spans="5:16" ht="13.5" thickBot="1">
      <c r="E27" s="4"/>
      <c r="F27" s="5"/>
      <c r="G27" s="5" t="s">
        <v>72</v>
      </c>
      <c r="H27" s="5">
        <f>(H20*H21*H22)/(H23*(1-H24^2))</f>
        <v>3.4673815097189524</v>
      </c>
      <c r="I27" s="5" t="s">
        <v>73</v>
      </c>
      <c r="J27" s="5"/>
      <c r="K27" s="5"/>
      <c r="L27" s="5" t="s">
        <v>64</v>
      </c>
      <c r="M27" s="5">
        <f>P25/M25</f>
        <v>0.46036144578313254</v>
      </c>
      <c r="N27" s="5"/>
      <c r="O27" s="5"/>
      <c r="P27" s="12"/>
    </row>
    <row r="28" ht="13.5" thickBot="1"/>
    <row r="29" spans="5:16" ht="12.75">
      <c r="E29" s="9"/>
      <c r="F29" s="6"/>
      <c r="G29" s="6" t="s">
        <v>59</v>
      </c>
      <c r="H29" s="6">
        <f>M29*0.9</f>
        <v>6.3</v>
      </c>
      <c r="I29" s="6" t="s">
        <v>60</v>
      </c>
      <c r="J29" s="6"/>
      <c r="K29" s="6"/>
      <c r="L29" s="6" t="s">
        <v>65</v>
      </c>
      <c r="M29" s="14">
        <v>7</v>
      </c>
      <c r="N29" s="6" t="s">
        <v>60</v>
      </c>
      <c r="O29" s="6">
        <v>0.06</v>
      </c>
      <c r="P29" s="10">
        <f>O29*M29</f>
        <v>0.42</v>
      </c>
    </row>
    <row r="30" spans="5:16" ht="12.75">
      <c r="E30" s="3"/>
      <c r="F30" s="2"/>
      <c r="G30" s="2" t="s">
        <v>61</v>
      </c>
      <c r="H30" s="2">
        <v>66</v>
      </c>
      <c r="I30" s="2" t="s">
        <v>70</v>
      </c>
      <c r="J30" s="2"/>
      <c r="K30" s="2"/>
      <c r="L30" s="2" t="s">
        <v>66</v>
      </c>
      <c r="M30" s="2">
        <f>7*4-M29</f>
        <v>21</v>
      </c>
      <c r="N30" s="2" t="s">
        <v>60</v>
      </c>
      <c r="O30" s="2">
        <v>0.5</v>
      </c>
      <c r="P30" s="11">
        <f>O30*M30</f>
        <v>10.5</v>
      </c>
    </row>
    <row r="31" spans="5:16" ht="12.75">
      <c r="E31" s="3" t="s">
        <v>71</v>
      </c>
      <c r="F31" s="2"/>
      <c r="G31" s="2" t="s">
        <v>62</v>
      </c>
      <c r="H31" s="2">
        <v>0.73</v>
      </c>
      <c r="I31" s="2">
        <v>0.73</v>
      </c>
      <c r="J31" s="2"/>
      <c r="K31" s="2"/>
      <c r="L31" s="2" t="s">
        <v>67</v>
      </c>
      <c r="M31" s="2">
        <f>2*5*4+7*4</f>
        <v>68</v>
      </c>
      <c r="N31" s="2" t="s">
        <v>60</v>
      </c>
      <c r="O31" s="2">
        <v>0.5</v>
      </c>
      <c r="P31" s="11">
        <f>O31*M31</f>
        <v>34</v>
      </c>
    </row>
    <row r="32" spans="5:16" ht="12.75">
      <c r="E32" s="3"/>
      <c r="F32" s="2"/>
      <c r="G32" s="2" t="s">
        <v>63</v>
      </c>
      <c r="H32" s="2">
        <f>M34</f>
        <v>166</v>
      </c>
      <c r="I32" s="2" t="s">
        <v>60</v>
      </c>
      <c r="J32" s="2"/>
      <c r="K32" s="2"/>
      <c r="L32" s="2" t="s">
        <v>68</v>
      </c>
      <c r="M32" s="2">
        <f>7*5</f>
        <v>35</v>
      </c>
      <c r="N32" s="2" t="s">
        <v>60</v>
      </c>
      <c r="O32" s="2">
        <v>0.7</v>
      </c>
      <c r="P32" s="11">
        <f>O32*M32</f>
        <v>24.5</v>
      </c>
    </row>
    <row r="33" spans="5:16" ht="12.75">
      <c r="E33" s="3"/>
      <c r="F33" s="2"/>
      <c r="G33" s="2" t="s">
        <v>64</v>
      </c>
      <c r="H33" s="2">
        <f>M36</f>
        <v>0.46036144578313254</v>
      </c>
      <c r="I33" s="2"/>
      <c r="J33" s="2"/>
      <c r="K33" s="2"/>
      <c r="L33" s="2" t="s">
        <v>69</v>
      </c>
      <c r="M33" s="2">
        <f>7*5</f>
        <v>35</v>
      </c>
      <c r="N33" s="2" t="s">
        <v>60</v>
      </c>
      <c r="O33" s="2">
        <v>0.2</v>
      </c>
      <c r="P33" s="11">
        <f>O33*M33</f>
        <v>7</v>
      </c>
    </row>
    <row r="34" spans="5:16" ht="12.75">
      <c r="E34" s="3"/>
      <c r="F34" s="2"/>
      <c r="G34" s="2"/>
      <c r="H34" s="2"/>
      <c r="I34" s="2"/>
      <c r="J34" s="2"/>
      <c r="K34" s="2"/>
      <c r="L34" s="2"/>
      <c r="M34" s="2">
        <f>SUM(M29:M33)</f>
        <v>166</v>
      </c>
      <c r="N34" s="2"/>
      <c r="O34" s="2"/>
      <c r="P34" s="11">
        <f>SUM(P29:P33)</f>
        <v>76.42</v>
      </c>
    </row>
    <row r="35" spans="5:16" ht="12.75"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11"/>
    </row>
    <row r="36" spans="5:16" ht="13.5" thickBot="1">
      <c r="E36" s="4"/>
      <c r="F36" s="5"/>
      <c r="G36" s="5" t="s">
        <v>72</v>
      </c>
      <c r="H36" s="5">
        <f>(H29*H30*H31)/(H32*(1-H33^2))</f>
        <v>2.3202561269202655</v>
      </c>
      <c r="I36" s="5" t="s">
        <v>73</v>
      </c>
      <c r="J36" s="5"/>
      <c r="K36" s="5"/>
      <c r="L36" s="5" t="s">
        <v>64</v>
      </c>
      <c r="M36" s="5">
        <f>P34/M34</f>
        <v>0.46036144578313254</v>
      </c>
      <c r="N36" s="5"/>
      <c r="O36" s="5"/>
      <c r="P36" s="12"/>
    </row>
    <row r="37" ht="13.5" thickBot="1"/>
    <row r="38" spans="5:16" ht="12.75">
      <c r="E38" s="9"/>
      <c r="F38" s="6"/>
      <c r="G38" s="6" t="s">
        <v>59</v>
      </c>
      <c r="H38" s="6">
        <f>M38*0.9</f>
        <v>7.2</v>
      </c>
      <c r="I38" s="6" t="s">
        <v>60</v>
      </c>
      <c r="J38" s="6"/>
      <c r="K38" s="6"/>
      <c r="L38" s="6" t="s">
        <v>65</v>
      </c>
      <c r="M38" s="14">
        <v>8</v>
      </c>
      <c r="N38" s="6" t="s">
        <v>60</v>
      </c>
      <c r="O38" s="6">
        <v>0.06</v>
      </c>
      <c r="P38" s="10">
        <f>O38*M38</f>
        <v>0.48</v>
      </c>
    </row>
    <row r="39" spans="5:16" ht="12.75">
      <c r="E39" s="3"/>
      <c r="F39" s="2"/>
      <c r="G39" s="2" t="s">
        <v>61</v>
      </c>
      <c r="H39" s="2">
        <v>66</v>
      </c>
      <c r="I39" s="2" t="s">
        <v>70</v>
      </c>
      <c r="J39" s="2"/>
      <c r="K39" s="2"/>
      <c r="L39" s="2" t="s">
        <v>66</v>
      </c>
      <c r="M39" s="2">
        <f>7*4-M38</f>
        <v>20</v>
      </c>
      <c r="N39" s="2" t="s">
        <v>60</v>
      </c>
      <c r="O39" s="2">
        <v>0.5</v>
      </c>
      <c r="P39" s="11">
        <f>O39*M39</f>
        <v>10</v>
      </c>
    </row>
    <row r="40" spans="5:16" ht="12.75">
      <c r="E40" s="3" t="s">
        <v>71</v>
      </c>
      <c r="F40" s="2"/>
      <c r="G40" s="2" t="s">
        <v>62</v>
      </c>
      <c r="H40" s="2">
        <v>0.73</v>
      </c>
      <c r="I40" s="2">
        <v>0.73</v>
      </c>
      <c r="J40" s="2"/>
      <c r="K40" s="2"/>
      <c r="L40" s="2" t="s">
        <v>67</v>
      </c>
      <c r="M40" s="2">
        <f>2*5*4+7*4</f>
        <v>68</v>
      </c>
      <c r="N40" s="2" t="s">
        <v>60</v>
      </c>
      <c r="O40" s="2">
        <v>0.5</v>
      </c>
      <c r="P40" s="11">
        <f>O40*M40</f>
        <v>34</v>
      </c>
    </row>
    <row r="41" spans="5:16" ht="12.75">
      <c r="E41" s="3"/>
      <c r="F41" s="2"/>
      <c r="G41" s="2" t="s">
        <v>63</v>
      </c>
      <c r="H41" s="2">
        <f>M43</f>
        <v>166</v>
      </c>
      <c r="I41" s="2" t="s">
        <v>60</v>
      </c>
      <c r="J41" s="2"/>
      <c r="K41" s="2"/>
      <c r="L41" s="2" t="s">
        <v>68</v>
      </c>
      <c r="M41" s="2">
        <f>7*5</f>
        <v>35</v>
      </c>
      <c r="N41" s="2" t="s">
        <v>60</v>
      </c>
      <c r="O41" s="2">
        <v>0.7</v>
      </c>
      <c r="P41" s="11">
        <f>O41*M41</f>
        <v>24.5</v>
      </c>
    </row>
    <row r="42" spans="5:16" ht="12.75">
      <c r="E42" s="3"/>
      <c r="F42" s="2"/>
      <c r="G42" s="2" t="s">
        <v>64</v>
      </c>
      <c r="H42" s="2">
        <f>M45</f>
        <v>0.457710843373494</v>
      </c>
      <c r="I42" s="2"/>
      <c r="J42" s="2"/>
      <c r="K42" s="2"/>
      <c r="L42" s="2" t="s">
        <v>69</v>
      </c>
      <c r="M42" s="2">
        <f>7*5</f>
        <v>35</v>
      </c>
      <c r="N42" s="2" t="s">
        <v>60</v>
      </c>
      <c r="O42" s="2">
        <v>0.2</v>
      </c>
      <c r="P42" s="11">
        <f>O42*M42</f>
        <v>7</v>
      </c>
    </row>
    <row r="43" spans="5:16" ht="12.75">
      <c r="E43" s="3"/>
      <c r="F43" s="2"/>
      <c r="G43" s="2"/>
      <c r="H43" s="2"/>
      <c r="I43" s="2"/>
      <c r="J43" s="2"/>
      <c r="K43" s="2"/>
      <c r="L43" s="2"/>
      <c r="M43" s="2">
        <f>SUM(M38:M42)</f>
        <v>166</v>
      </c>
      <c r="N43" s="2"/>
      <c r="O43" s="2"/>
      <c r="P43" s="11">
        <f>SUM(P38:P42)</f>
        <v>75.98</v>
      </c>
    </row>
    <row r="44" spans="5:16" ht="12.75"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11"/>
    </row>
    <row r="45" spans="5:16" ht="13.5" thickBot="1">
      <c r="E45" s="4"/>
      <c r="F45" s="5"/>
      <c r="G45" s="5" t="s">
        <v>72</v>
      </c>
      <c r="H45" s="5">
        <f>(H38*H39*H40)/(H41*(1-H42^2))</f>
        <v>2.6435583397644833</v>
      </c>
      <c r="I45" s="5" t="s">
        <v>73</v>
      </c>
      <c r="J45" s="5"/>
      <c r="K45" s="5"/>
      <c r="L45" s="5" t="s">
        <v>64</v>
      </c>
      <c r="M45" s="5">
        <f>P43/M43</f>
        <v>0.457710843373494</v>
      </c>
      <c r="N45" s="5"/>
      <c r="O45" s="5"/>
      <c r="P45" s="12"/>
    </row>
    <row r="46" ht="13.5" thickBot="1"/>
    <row r="47" spans="5:16" ht="12.75">
      <c r="E47" s="9"/>
      <c r="F47" s="6"/>
      <c r="G47" s="6" t="s">
        <v>59</v>
      </c>
      <c r="H47" s="6">
        <f>M47*0.9</f>
        <v>8.1</v>
      </c>
      <c r="I47" s="6" t="s">
        <v>60</v>
      </c>
      <c r="J47" s="6"/>
      <c r="K47" s="6"/>
      <c r="L47" s="6" t="s">
        <v>65</v>
      </c>
      <c r="M47" s="14">
        <v>9</v>
      </c>
      <c r="N47" s="6" t="s">
        <v>60</v>
      </c>
      <c r="O47" s="6">
        <v>0.06</v>
      </c>
      <c r="P47" s="10">
        <f>O47*M47</f>
        <v>0.54</v>
      </c>
    </row>
    <row r="48" spans="5:16" ht="12.75">
      <c r="E48" s="3"/>
      <c r="F48" s="2"/>
      <c r="G48" s="2" t="s">
        <v>61</v>
      </c>
      <c r="H48" s="2">
        <v>66</v>
      </c>
      <c r="I48" s="2" t="s">
        <v>70</v>
      </c>
      <c r="J48" s="2"/>
      <c r="K48" s="2"/>
      <c r="L48" s="2" t="s">
        <v>66</v>
      </c>
      <c r="M48" s="2">
        <f>7*4-M47</f>
        <v>19</v>
      </c>
      <c r="N48" s="2" t="s">
        <v>60</v>
      </c>
      <c r="O48" s="2">
        <v>0.5</v>
      </c>
      <c r="P48" s="11">
        <f>O48*M48</f>
        <v>9.5</v>
      </c>
    </row>
    <row r="49" spans="5:16" ht="12.75">
      <c r="E49" s="3" t="s">
        <v>71</v>
      </c>
      <c r="F49" s="2"/>
      <c r="G49" s="2" t="s">
        <v>62</v>
      </c>
      <c r="H49" s="2">
        <v>0.73</v>
      </c>
      <c r="I49" s="2">
        <v>0.73</v>
      </c>
      <c r="J49" s="2"/>
      <c r="K49" s="2"/>
      <c r="L49" s="2" t="s">
        <v>67</v>
      </c>
      <c r="M49" s="2">
        <f>2*5*4+7*4</f>
        <v>68</v>
      </c>
      <c r="N49" s="2" t="s">
        <v>60</v>
      </c>
      <c r="O49" s="2">
        <v>0.5</v>
      </c>
      <c r="P49" s="11">
        <f>O49*M49</f>
        <v>34</v>
      </c>
    </row>
    <row r="50" spans="5:16" ht="12.75">
      <c r="E50" s="3"/>
      <c r="F50" s="2"/>
      <c r="G50" s="2" t="s">
        <v>63</v>
      </c>
      <c r="H50" s="2">
        <f>M52</f>
        <v>166</v>
      </c>
      <c r="I50" s="2" t="s">
        <v>60</v>
      </c>
      <c r="J50" s="2"/>
      <c r="K50" s="2"/>
      <c r="L50" s="2" t="s">
        <v>68</v>
      </c>
      <c r="M50" s="2">
        <f>7*5</f>
        <v>35</v>
      </c>
      <c r="N50" s="2" t="s">
        <v>60</v>
      </c>
      <c r="O50" s="2">
        <v>0.7</v>
      </c>
      <c r="P50" s="11">
        <f>O50*M50</f>
        <v>24.5</v>
      </c>
    </row>
    <row r="51" spans="5:16" ht="12.75">
      <c r="E51" s="3"/>
      <c r="F51" s="2"/>
      <c r="G51" s="2" t="s">
        <v>64</v>
      </c>
      <c r="H51" s="2">
        <f>M54</f>
        <v>0.4550602409638554</v>
      </c>
      <c r="I51" s="2"/>
      <c r="J51" s="2"/>
      <c r="K51" s="2"/>
      <c r="L51" s="2" t="s">
        <v>69</v>
      </c>
      <c r="M51" s="2">
        <f>7*5</f>
        <v>35</v>
      </c>
      <c r="N51" s="2" t="s">
        <v>60</v>
      </c>
      <c r="O51" s="2">
        <v>0.2</v>
      </c>
      <c r="P51" s="11">
        <f>O51*M51</f>
        <v>7</v>
      </c>
    </row>
    <row r="52" spans="5:16" ht="12.75">
      <c r="E52" s="3"/>
      <c r="F52" s="2"/>
      <c r="G52" s="2"/>
      <c r="H52" s="2"/>
      <c r="I52" s="2"/>
      <c r="J52" s="2"/>
      <c r="K52" s="2"/>
      <c r="L52" s="2"/>
      <c r="M52" s="2">
        <f>SUM(M47:M51)</f>
        <v>166</v>
      </c>
      <c r="N52" s="2"/>
      <c r="O52" s="2"/>
      <c r="P52" s="11">
        <f>SUM(P47:P51)</f>
        <v>75.53999999999999</v>
      </c>
    </row>
    <row r="53" spans="5:16" ht="12.75"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11"/>
    </row>
    <row r="54" spans="5:16" ht="13.5" thickBot="1">
      <c r="E54" s="4"/>
      <c r="F54" s="5"/>
      <c r="G54" s="5" t="s">
        <v>72</v>
      </c>
      <c r="H54" s="5">
        <f>(H47*H48*H49)/(H50*(1-H51^2))</f>
        <v>2.9649287218862836</v>
      </c>
      <c r="I54" s="5" t="s">
        <v>73</v>
      </c>
      <c r="J54" s="5"/>
      <c r="K54" s="5"/>
      <c r="L54" s="5" t="s">
        <v>64</v>
      </c>
      <c r="M54" s="5">
        <f>P52/M52</f>
        <v>0.4550602409638554</v>
      </c>
      <c r="N54" s="5"/>
      <c r="O54" s="5"/>
      <c r="P54" s="12"/>
    </row>
    <row r="55" ht="13.5" thickBot="1"/>
    <row r="56" spans="5:16" ht="12.75">
      <c r="E56" s="9"/>
      <c r="F56" s="6"/>
      <c r="G56" s="6" t="s">
        <v>59</v>
      </c>
      <c r="H56" s="6">
        <f>M56*0.9</f>
        <v>9</v>
      </c>
      <c r="I56" s="6" t="s">
        <v>60</v>
      </c>
      <c r="J56" s="6"/>
      <c r="K56" s="6"/>
      <c r="L56" s="6" t="s">
        <v>65</v>
      </c>
      <c r="M56" s="14">
        <v>10</v>
      </c>
      <c r="N56" s="6" t="s">
        <v>60</v>
      </c>
      <c r="O56" s="6">
        <v>0.06</v>
      </c>
      <c r="P56" s="10">
        <f>O56*M56</f>
        <v>0.6</v>
      </c>
    </row>
    <row r="57" spans="5:16" ht="12.75">
      <c r="E57" s="3"/>
      <c r="F57" s="2"/>
      <c r="G57" s="2" t="s">
        <v>61</v>
      </c>
      <c r="H57" s="2">
        <v>66</v>
      </c>
      <c r="I57" s="2" t="s">
        <v>70</v>
      </c>
      <c r="J57" s="2"/>
      <c r="K57" s="2"/>
      <c r="L57" s="2" t="s">
        <v>66</v>
      </c>
      <c r="M57" s="2">
        <f>7*4-M56</f>
        <v>18</v>
      </c>
      <c r="N57" s="2" t="s">
        <v>60</v>
      </c>
      <c r="O57" s="2">
        <v>0.5</v>
      </c>
      <c r="P57" s="11">
        <f>O57*M57</f>
        <v>9</v>
      </c>
    </row>
    <row r="58" spans="5:16" ht="12.75">
      <c r="E58" s="3" t="s">
        <v>71</v>
      </c>
      <c r="F58" s="2"/>
      <c r="G58" s="2" t="s">
        <v>62</v>
      </c>
      <c r="H58" s="2">
        <v>0.73</v>
      </c>
      <c r="I58" s="2">
        <v>0.73</v>
      </c>
      <c r="J58" s="2"/>
      <c r="K58" s="2"/>
      <c r="L58" s="2" t="s">
        <v>67</v>
      </c>
      <c r="M58" s="2">
        <f>2*5*4+7*4</f>
        <v>68</v>
      </c>
      <c r="N58" s="2" t="s">
        <v>60</v>
      </c>
      <c r="O58" s="2">
        <v>0.5</v>
      </c>
      <c r="P58" s="11">
        <f>O58*M58</f>
        <v>34</v>
      </c>
    </row>
    <row r="59" spans="5:16" ht="12.75">
      <c r="E59" s="3"/>
      <c r="F59" s="2"/>
      <c r="G59" s="2" t="s">
        <v>63</v>
      </c>
      <c r="H59" s="2">
        <f>M61</f>
        <v>166</v>
      </c>
      <c r="I59" s="2" t="s">
        <v>60</v>
      </c>
      <c r="J59" s="2"/>
      <c r="K59" s="2"/>
      <c r="L59" s="2" t="s">
        <v>68</v>
      </c>
      <c r="M59" s="2">
        <f>7*5</f>
        <v>35</v>
      </c>
      <c r="N59" s="2" t="s">
        <v>60</v>
      </c>
      <c r="O59" s="2">
        <v>0.7</v>
      </c>
      <c r="P59" s="11">
        <f>O59*M59</f>
        <v>24.5</v>
      </c>
    </row>
    <row r="60" spans="5:16" ht="12.75">
      <c r="E60" s="3"/>
      <c r="F60" s="2"/>
      <c r="G60" s="2" t="s">
        <v>64</v>
      </c>
      <c r="H60" s="2">
        <f>M63</f>
        <v>0.45240963855421684</v>
      </c>
      <c r="I60" s="2"/>
      <c r="J60" s="2"/>
      <c r="K60" s="2"/>
      <c r="L60" s="2" t="s">
        <v>69</v>
      </c>
      <c r="M60" s="2">
        <f>7*5</f>
        <v>35</v>
      </c>
      <c r="N60" s="2" t="s">
        <v>60</v>
      </c>
      <c r="O60" s="2">
        <v>0.2</v>
      </c>
      <c r="P60" s="11">
        <f>O60*M60</f>
        <v>7</v>
      </c>
    </row>
    <row r="61" spans="5:16" ht="12.75">
      <c r="E61" s="3"/>
      <c r="F61" s="2"/>
      <c r="G61" s="2"/>
      <c r="H61" s="2"/>
      <c r="I61" s="2"/>
      <c r="J61" s="2"/>
      <c r="K61" s="2"/>
      <c r="L61" s="2"/>
      <c r="M61" s="2">
        <f>SUM(M56:M60)</f>
        <v>166</v>
      </c>
      <c r="N61" s="2"/>
      <c r="O61" s="2"/>
      <c r="P61" s="11">
        <f>SUM(P56:P60)</f>
        <v>75.1</v>
      </c>
    </row>
    <row r="62" spans="5:16" ht="12.75"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11"/>
    </row>
    <row r="63" spans="5:16" ht="13.5" thickBot="1">
      <c r="E63" s="4"/>
      <c r="F63" s="5"/>
      <c r="G63" s="5" t="s">
        <v>72</v>
      </c>
      <c r="H63" s="5">
        <f>(H56*H57*H58)/(H59*(1-H60^2))</f>
        <v>3.2844019366681585</v>
      </c>
      <c r="I63" s="5" t="s">
        <v>73</v>
      </c>
      <c r="J63" s="5"/>
      <c r="K63" s="5"/>
      <c r="L63" s="5" t="s">
        <v>64</v>
      </c>
      <c r="M63" s="5">
        <f>P61/M61</f>
        <v>0.45240963855421684</v>
      </c>
      <c r="N63" s="5"/>
      <c r="O63" s="5"/>
      <c r="P63" s="12"/>
    </row>
    <row r="64" ht="13.5" thickBot="1"/>
    <row r="65" spans="5:16" ht="12.75">
      <c r="E65" s="9"/>
      <c r="F65" s="6"/>
      <c r="G65" s="6" t="s">
        <v>59</v>
      </c>
      <c r="H65" s="6">
        <f>M65*0.9</f>
        <v>9.9</v>
      </c>
      <c r="I65" s="6" t="s">
        <v>60</v>
      </c>
      <c r="J65" s="6"/>
      <c r="K65" s="6"/>
      <c r="L65" s="6" t="s">
        <v>65</v>
      </c>
      <c r="M65" s="14">
        <v>11</v>
      </c>
      <c r="N65" s="6" t="s">
        <v>60</v>
      </c>
      <c r="O65" s="6">
        <v>0.06</v>
      </c>
      <c r="P65" s="10">
        <f>O65*M65</f>
        <v>0.6599999999999999</v>
      </c>
    </row>
    <row r="66" spans="5:16" ht="12.75">
      <c r="E66" s="3"/>
      <c r="F66" s="2"/>
      <c r="G66" s="2" t="s">
        <v>61</v>
      </c>
      <c r="H66" s="2">
        <v>66</v>
      </c>
      <c r="I66" s="2" t="s">
        <v>70</v>
      </c>
      <c r="J66" s="2"/>
      <c r="K66" s="2"/>
      <c r="L66" s="2" t="s">
        <v>66</v>
      </c>
      <c r="M66" s="2">
        <f>7*4-M65</f>
        <v>17</v>
      </c>
      <c r="N66" s="2" t="s">
        <v>60</v>
      </c>
      <c r="O66" s="2">
        <v>0.5</v>
      </c>
      <c r="P66" s="11">
        <f>O66*M66</f>
        <v>8.5</v>
      </c>
    </row>
    <row r="67" spans="5:16" ht="12.75">
      <c r="E67" s="3" t="s">
        <v>71</v>
      </c>
      <c r="F67" s="2"/>
      <c r="G67" s="2" t="s">
        <v>62</v>
      </c>
      <c r="H67" s="2">
        <v>0.73</v>
      </c>
      <c r="I67" s="2">
        <v>0.73</v>
      </c>
      <c r="J67" s="2"/>
      <c r="K67" s="2"/>
      <c r="L67" s="2" t="s">
        <v>67</v>
      </c>
      <c r="M67" s="2">
        <f>2*5*4+7*4</f>
        <v>68</v>
      </c>
      <c r="N67" s="2" t="s">
        <v>60</v>
      </c>
      <c r="O67" s="2">
        <v>0.5</v>
      </c>
      <c r="P67" s="11">
        <f>O67*M67</f>
        <v>34</v>
      </c>
    </row>
    <row r="68" spans="5:16" ht="12.75">
      <c r="E68" s="3"/>
      <c r="F68" s="2"/>
      <c r="G68" s="2" t="s">
        <v>63</v>
      </c>
      <c r="H68" s="2">
        <f>M70</f>
        <v>166</v>
      </c>
      <c r="I68" s="2" t="s">
        <v>60</v>
      </c>
      <c r="J68" s="2"/>
      <c r="K68" s="2"/>
      <c r="L68" s="2" t="s">
        <v>68</v>
      </c>
      <c r="M68" s="2">
        <f>7*5</f>
        <v>35</v>
      </c>
      <c r="N68" s="2" t="s">
        <v>60</v>
      </c>
      <c r="O68" s="2">
        <v>0.7</v>
      </c>
      <c r="P68" s="11">
        <f>O68*M68</f>
        <v>24.5</v>
      </c>
    </row>
    <row r="69" spans="5:16" ht="12.75">
      <c r="E69" s="3"/>
      <c r="F69" s="2"/>
      <c r="G69" s="2" t="s">
        <v>64</v>
      </c>
      <c r="H69" s="2">
        <f>M72</f>
        <v>0.4497590361445783</v>
      </c>
      <c r="I69" s="2"/>
      <c r="J69" s="2"/>
      <c r="K69" s="2"/>
      <c r="L69" s="2" t="s">
        <v>69</v>
      </c>
      <c r="M69" s="2">
        <f>7*5</f>
        <v>35</v>
      </c>
      <c r="N69" s="2" t="s">
        <v>60</v>
      </c>
      <c r="O69" s="2">
        <v>0.2</v>
      </c>
      <c r="P69" s="11">
        <f>O69*M69</f>
        <v>7</v>
      </c>
    </row>
    <row r="70" spans="5:16" ht="12.75">
      <c r="E70" s="3"/>
      <c r="F70" s="2"/>
      <c r="G70" s="2"/>
      <c r="H70" s="2"/>
      <c r="I70" s="2"/>
      <c r="J70" s="2"/>
      <c r="K70" s="2"/>
      <c r="L70" s="2"/>
      <c r="M70" s="2">
        <f>SUM(M65:M69)</f>
        <v>166</v>
      </c>
      <c r="N70" s="2"/>
      <c r="O70" s="2"/>
      <c r="P70" s="11">
        <f>SUM(P65:P69)</f>
        <v>74.66</v>
      </c>
    </row>
    <row r="71" spans="5:16" ht="12.75"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11"/>
    </row>
    <row r="72" spans="5:16" ht="13.5" thickBot="1">
      <c r="E72" s="4"/>
      <c r="F72" s="5"/>
      <c r="G72" s="5" t="s">
        <v>72</v>
      </c>
      <c r="H72" s="5">
        <f>(H65*H66*H67)/(H68*(1-H69^2))</f>
        <v>3.602012027685852</v>
      </c>
      <c r="I72" s="5" t="s">
        <v>73</v>
      </c>
      <c r="J72" s="5"/>
      <c r="K72" s="5"/>
      <c r="L72" s="5" t="s">
        <v>64</v>
      </c>
      <c r="M72" s="5">
        <f>P70/M70</f>
        <v>0.4497590361445783</v>
      </c>
      <c r="N72" s="5"/>
      <c r="O72" s="5"/>
      <c r="P72" s="12"/>
    </row>
    <row r="73" ht="13.5" thickBot="1"/>
    <row r="74" spans="5:16" ht="12.75">
      <c r="E74" s="9"/>
      <c r="F74" s="6"/>
      <c r="G74" s="6" t="s">
        <v>59</v>
      </c>
      <c r="H74" s="6">
        <f>M74*0.9</f>
        <v>10.8</v>
      </c>
      <c r="I74" s="6" t="s">
        <v>60</v>
      </c>
      <c r="J74" s="6"/>
      <c r="K74" s="6"/>
      <c r="L74" s="6" t="s">
        <v>65</v>
      </c>
      <c r="M74" s="14">
        <v>12</v>
      </c>
      <c r="N74" s="6" t="s">
        <v>60</v>
      </c>
      <c r="O74" s="6">
        <v>0.06</v>
      </c>
      <c r="P74" s="10">
        <f>O74*M74</f>
        <v>0.72</v>
      </c>
    </row>
    <row r="75" spans="5:16" ht="12.75">
      <c r="E75" s="3"/>
      <c r="F75" s="2"/>
      <c r="G75" s="2" t="s">
        <v>61</v>
      </c>
      <c r="H75" s="2">
        <v>66</v>
      </c>
      <c r="I75" s="2" t="s">
        <v>70</v>
      </c>
      <c r="J75" s="2"/>
      <c r="K75" s="2"/>
      <c r="L75" s="2" t="s">
        <v>66</v>
      </c>
      <c r="M75" s="2">
        <f>7*4-M74</f>
        <v>16</v>
      </c>
      <c r="N75" s="2" t="s">
        <v>60</v>
      </c>
      <c r="O75" s="2">
        <v>0.5</v>
      </c>
      <c r="P75" s="11">
        <f>O75*M75</f>
        <v>8</v>
      </c>
    </row>
    <row r="76" spans="5:16" ht="12.75">
      <c r="E76" s="3" t="s">
        <v>71</v>
      </c>
      <c r="F76" s="2"/>
      <c r="G76" s="2" t="s">
        <v>62</v>
      </c>
      <c r="H76" s="2">
        <v>0.73</v>
      </c>
      <c r="I76" s="2">
        <v>0.73</v>
      </c>
      <c r="J76" s="2"/>
      <c r="K76" s="2"/>
      <c r="L76" s="2" t="s">
        <v>67</v>
      </c>
      <c r="M76" s="2">
        <f>2*5*4+7*4</f>
        <v>68</v>
      </c>
      <c r="N76" s="2" t="s">
        <v>60</v>
      </c>
      <c r="O76" s="2">
        <v>0.5</v>
      </c>
      <c r="P76" s="11">
        <f>O76*M76</f>
        <v>34</v>
      </c>
    </row>
    <row r="77" spans="5:16" ht="12.75">
      <c r="E77" s="3"/>
      <c r="F77" s="2"/>
      <c r="G77" s="2" t="s">
        <v>63</v>
      </c>
      <c r="H77" s="2">
        <f>M79</f>
        <v>166</v>
      </c>
      <c r="I77" s="2" t="s">
        <v>60</v>
      </c>
      <c r="J77" s="2"/>
      <c r="K77" s="2"/>
      <c r="L77" s="2" t="s">
        <v>68</v>
      </c>
      <c r="M77" s="2">
        <f>7*5</f>
        <v>35</v>
      </c>
      <c r="N77" s="2" t="s">
        <v>60</v>
      </c>
      <c r="O77" s="2">
        <v>0.7</v>
      </c>
      <c r="P77" s="11">
        <f>O77*M77</f>
        <v>24.5</v>
      </c>
    </row>
    <row r="78" spans="5:16" ht="12.75">
      <c r="E78" s="3"/>
      <c r="F78" s="2"/>
      <c r="G78" s="2" t="s">
        <v>64</v>
      </c>
      <c r="H78" s="2">
        <f>M81</f>
        <v>0.44710843373493975</v>
      </c>
      <c r="I78" s="2"/>
      <c r="J78" s="2"/>
      <c r="K78" s="2"/>
      <c r="L78" s="2" t="s">
        <v>69</v>
      </c>
      <c r="M78" s="2">
        <f>7*5</f>
        <v>35</v>
      </c>
      <c r="N78" s="2" t="s">
        <v>60</v>
      </c>
      <c r="O78" s="2">
        <v>0.2</v>
      </c>
      <c r="P78" s="11">
        <f>O78*M78</f>
        <v>7</v>
      </c>
    </row>
    <row r="79" spans="5:16" ht="12.75">
      <c r="E79" s="3"/>
      <c r="F79" s="2"/>
      <c r="G79" s="2"/>
      <c r="H79" s="2"/>
      <c r="I79" s="2"/>
      <c r="J79" s="2"/>
      <c r="K79" s="2"/>
      <c r="L79" s="2"/>
      <c r="M79" s="2">
        <f>SUM(M74:M78)</f>
        <v>166</v>
      </c>
      <c r="N79" s="2"/>
      <c r="O79" s="2"/>
      <c r="P79" s="11">
        <f>SUM(P74:P78)</f>
        <v>74.22</v>
      </c>
    </row>
    <row r="80" spans="5:16" ht="12.75"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11"/>
    </row>
    <row r="81" spans="5:16" ht="13.5" thickBot="1">
      <c r="E81" s="4"/>
      <c r="F81" s="5"/>
      <c r="G81" s="5" t="s">
        <v>72</v>
      </c>
      <c r="H81" s="5">
        <f>(H74*H75*H76)/(H77*(1-H78^2))</f>
        <v>3.9177924340038484</v>
      </c>
      <c r="I81" s="5" t="s">
        <v>73</v>
      </c>
      <c r="J81" s="5"/>
      <c r="K81" s="5"/>
      <c r="L81" s="5" t="s">
        <v>64</v>
      </c>
      <c r="M81" s="5">
        <f>P79/M79</f>
        <v>0.44710843373493975</v>
      </c>
      <c r="N81" s="5"/>
      <c r="O81" s="5"/>
      <c r="P81" s="12"/>
    </row>
    <row r="82" ht="13.5" thickBot="1"/>
    <row r="83" spans="5:16" ht="12.75">
      <c r="E83" s="9"/>
      <c r="F83" s="6"/>
      <c r="G83" s="6" t="s">
        <v>59</v>
      </c>
      <c r="H83" s="6">
        <f>M83*0.9</f>
        <v>11.700000000000001</v>
      </c>
      <c r="I83" s="6" t="s">
        <v>60</v>
      </c>
      <c r="J83" s="6"/>
      <c r="K83" s="6"/>
      <c r="L83" s="6" t="s">
        <v>65</v>
      </c>
      <c r="M83" s="14">
        <v>13</v>
      </c>
      <c r="N83" s="6" t="s">
        <v>60</v>
      </c>
      <c r="O83" s="6">
        <v>0.06</v>
      </c>
      <c r="P83" s="10">
        <f>O83*M83</f>
        <v>0.78</v>
      </c>
    </row>
    <row r="84" spans="5:16" ht="12.75">
      <c r="E84" s="3"/>
      <c r="F84" s="2"/>
      <c r="G84" s="2" t="s">
        <v>61</v>
      </c>
      <c r="H84" s="2">
        <v>66</v>
      </c>
      <c r="I84" s="2" t="s">
        <v>70</v>
      </c>
      <c r="J84" s="2"/>
      <c r="K84" s="2"/>
      <c r="L84" s="2" t="s">
        <v>66</v>
      </c>
      <c r="M84" s="2">
        <f>7*4-M83</f>
        <v>15</v>
      </c>
      <c r="N84" s="2" t="s">
        <v>60</v>
      </c>
      <c r="O84" s="2">
        <v>0.5</v>
      </c>
      <c r="P84" s="11">
        <f>O84*M84</f>
        <v>7.5</v>
      </c>
    </row>
    <row r="85" spans="5:16" ht="12.75">
      <c r="E85" s="3" t="s">
        <v>71</v>
      </c>
      <c r="F85" s="2"/>
      <c r="G85" s="2" t="s">
        <v>62</v>
      </c>
      <c r="H85" s="2">
        <v>0.73</v>
      </c>
      <c r="I85" s="2">
        <v>0.73</v>
      </c>
      <c r="J85" s="2"/>
      <c r="K85" s="2"/>
      <c r="L85" s="2" t="s">
        <v>67</v>
      </c>
      <c r="M85" s="2">
        <f>2*5*4+7*4</f>
        <v>68</v>
      </c>
      <c r="N85" s="2" t="s">
        <v>60</v>
      </c>
      <c r="O85" s="2">
        <v>0.5</v>
      </c>
      <c r="P85" s="11">
        <f>O85*M85</f>
        <v>34</v>
      </c>
    </row>
    <row r="86" spans="5:16" ht="12.75">
      <c r="E86" s="3"/>
      <c r="F86" s="2"/>
      <c r="G86" s="2" t="s">
        <v>63</v>
      </c>
      <c r="H86" s="2">
        <f>M88</f>
        <v>166</v>
      </c>
      <c r="I86" s="2" t="s">
        <v>60</v>
      </c>
      <c r="J86" s="2"/>
      <c r="K86" s="2"/>
      <c r="L86" s="2" t="s">
        <v>68</v>
      </c>
      <c r="M86" s="2">
        <f>7*5</f>
        <v>35</v>
      </c>
      <c r="N86" s="2" t="s">
        <v>60</v>
      </c>
      <c r="O86" s="2">
        <v>0.7</v>
      </c>
      <c r="P86" s="11">
        <f>O86*M86</f>
        <v>24.5</v>
      </c>
    </row>
    <row r="87" spans="5:16" ht="12.75">
      <c r="E87" s="3"/>
      <c r="F87" s="2"/>
      <c r="G87" s="2" t="s">
        <v>64</v>
      </c>
      <c r="H87" s="2">
        <f>M90</f>
        <v>0.4444578313253012</v>
      </c>
      <c r="I87" s="2"/>
      <c r="J87" s="2"/>
      <c r="K87" s="2"/>
      <c r="L87" s="2" t="s">
        <v>69</v>
      </c>
      <c r="M87" s="2">
        <f>7*5</f>
        <v>35</v>
      </c>
      <c r="N87" s="2" t="s">
        <v>60</v>
      </c>
      <c r="O87" s="2">
        <v>0.2</v>
      </c>
      <c r="P87" s="11">
        <f>O87*M87</f>
        <v>7</v>
      </c>
    </row>
    <row r="88" spans="5:16" ht="12.75">
      <c r="E88" s="3"/>
      <c r="F88" s="2"/>
      <c r="G88" s="2"/>
      <c r="H88" s="2"/>
      <c r="I88" s="2"/>
      <c r="J88" s="2"/>
      <c r="K88" s="2"/>
      <c r="L88" s="2"/>
      <c r="M88" s="2">
        <f>SUM(M83:M87)</f>
        <v>166</v>
      </c>
      <c r="N88" s="2"/>
      <c r="O88" s="2"/>
      <c r="P88" s="11">
        <f>SUM(P83:P87)</f>
        <v>73.78</v>
      </c>
    </row>
    <row r="89" spans="5:16" ht="12.75"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11"/>
    </row>
    <row r="90" spans="5:16" ht="13.5" thickBot="1">
      <c r="E90" s="4"/>
      <c r="F90" s="5"/>
      <c r="G90" s="5" t="s">
        <v>72</v>
      </c>
      <c r="H90" s="5">
        <f>(H83*H84*H85)/(H86*(1-H87^2))</f>
        <v>4.2317760050377995</v>
      </c>
      <c r="I90" s="5" t="s">
        <v>73</v>
      </c>
      <c r="J90" s="5"/>
      <c r="K90" s="5"/>
      <c r="L90" s="5" t="s">
        <v>64</v>
      </c>
      <c r="M90" s="5">
        <f>P88/M88</f>
        <v>0.4444578313253012</v>
      </c>
      <c r="N90" s="5"/>
      <c r="O90" s="5"/>
      <c r="P90" s="12"/>
    </row>
    <row r="91" ht="13.5" thickBot="1"/>
    <row r="92" spans="5:16" ht="12.75">
      <c r="E92" s="9"/>
      <c r="F92" s="6"/>
      <c r="G92" s="6" t="s">
        <v>59</v>
      </c>
      <c r="H92" s="6">
        <f>M92*0.9</f>
        <v>12.6</v>
      </c>
      <c r="I92" s="6" t="s">
        <v>60</v>
      </c>
      <c r="J92" s="6"/>
      <c r="K92" s="6"/>
      <c r="L92" s="6" t="s">
        <v>65</v>
      </c>
      <c r="M92" s="14">
        <v>14</v>
      </c>
      <c r="N92" s="6" t="s">
        <v>60</v>
      </c>
      <c r="O92" s="6">
        <v>0.06</v>
      </c>
      <c r="P92" s="10">
        <f>O92*M92</f>
        <v>0.84</v>
      </c>
    </row>
    <row r="93" spans="5:16" ht="12.75">
      <c r="E93" s="3"/>
      <c r="F93" s="2"/>
      <c r="G93" s="2" t="s">
        <v>61</v>
      </c>
      <c r="H93" s="2">
        <v>66</v>
      </c>
      <c r="I93" s="2" t="s">
        <v>70</v>
      </c>
      <c r="J93" s="2"/>
      <c r="K93" s="2"/>
      <c r="L93" s="2" t="s">
        <v>66</v>
      </c>
      <c r="M93" s="2">
        <f>7*4-M92</f>
        <v>14</v>
      </c>
      <c r="N93" s="2" t="s">
        <v>60</v>
      </c>
      <c r="O93" s="2">
        <v>0.5</v>
      </c>
      <c r="P93" s="11">
        <f>O93*M93</f>
        <v>7</v>
      </c>
    </row>
    <row r="94" spans="5:16" ht="12.75">
      <c r="E94" s="3" t="s">
        <v>71</v>
      </c>
      <c r="F94" s="2"/>
      <c r="G94" s="2" t="s">
        <v>62</v>
      </c>
      <c r="H94" s="2">
        <v>0.73</v>
      </c>
      <c r="I94" s="2">
        <v>0.73</v>
      </c>
      <c r="J94" s="2"/>
      <c r="K94" s="2"/>
      <c r="L94" s="2" t="s">
        <v>67</v>
      </c>
      <c r="M94" s="2">
        <f>2*5*4+7*4</f>
        <v>68</v>
      </c>
      <c r="N94" s="2" t="s">
        <v>60</v>
      </c>
      <c r="O94" s="2">
        <v>0.5</v>
      </c>
      <c r="P94" s="11">
        <f>O94*M94</f>
        <v>34</v>
      </c>
    </row>
    <row r="95" spans="5:16" ht="12.75">
      <c r="E95" s="3"/>
      <c r="F95" s="2"/>
      <c r="G95" s="2" t="s">
        <v>63</v>
      </c>
      <c r="H95" s="2">
        <f>M97</f>
        <v>166</v>
      </c>
      <c r="I95" s="2" t="s">
        <v>60</v>
      </c>
      <c r="J95" s="2"/>
      <c r="K95" s="2"/>
      <c r="L95" s="2" t="s">
        <v>68</v>
      </c>
      <c r="M95" s="2">
        <f>7*5</f>
        <v>35</v>
      </c>
      <c r="N95" s="2" t="s">
        <v>60</v>
      </c>
      <c r="O95" s="2">
        <v>0.7</v>
      </c>
      <c r="P95" s="11">
        <f>O95*M95</f>
        <v>24.5</v>
      </c>
    </row>
    <row r="96" spans="5:16" ht="12.75">
      <c r="E96" s="3"/>
      <c r="F96" s="2"/>
      <c r="G96" s="2" t="s">
        <v>64</v>
      </c>
      <c r="H96" s="2">
        <f>M99</f>
        <v>0.44180722891566265</v>
      </c>
      <c r="I96" s="2"/>
      <c r="J96" s="2"/>
      <c r="K96" s="2"/>
      <c r="L96" s="2" t="s">
        <v>69</v>
      </c>
      <c r="M96" s="2">
        <f>7*5</f>
        <v>35</v>
      </c>
      <c r="N96" s="2" t="s">
        <v>60</v>
      </c>
      <c r="O96" s="2">
        <v>0.2</v>
      </c>
      <c r="P96" s="11">
        <f>O96*M96</f>
        <v>7</v>
      </c>
    </row>
    <row r="97" spans="5:16" ht="12.75">
      <c r="E97" s="3"/>
      <c r="F97" s="2"/>
      <c r="G97" s="2"/>
      <c r="H97" s="2"/>
      <c r="I97" s="2"/>
      <c r="J97" s="2"/>
      <c r="K97" s="2"/>
      <c r="L97" s="2"/>
      <c r="M97" s="2">
        <f>SUM(M92:M96)</f>
        <v>166</v>
      </c>
      <c r="N97" s="2"/>
      <c r="O97" s="2"/>
      <c r="P97" s="11">
        <f>SUM(P92:P96)</f>
        <v>73.34</v>
      </c>
    </row>
    <row r="98" spans="5:16" ht="12.75"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11"/>
    </row>
    <row r="99" spans="5:16" ht="13.5" thickBot="1">
      <c r="E99" s="4"/>
      <c r="F99" s="5"/>
      <c r="G99" s="5" t="s">
        <v>72</v>
      </c>
      <c r="H99" s="5">
        <f>(H92*H93*H94)/(H95*(1-H96^2))</f>
        <v>4.543995014998347</v>
      </c>
      <c r="I99" s="5" t="s">
        <v>73</v>
      </c>
      <c r="J99" s="5"/>
      <c r="K99" s="5"/>
      <c r="L99" s="5" t="s">
        <v>64</v>
      </c>
      <c r="M99" s="5">
        <f>P97/M97</f>
        <v>0.44180722891566265</v>
      </c>
      <c r="N99" s="5"/>
      <c r="O99" s="5"/>
      <c r="P99" s="12"/>
    </row>
    <row r="100" ht="13.5" thickBot="1"/>
    <row r="101" spans="5:16" ht="12.75">
      <c r="E101" s="9"/>
      <c r="F101" s="6"/>
      <c r="G101" s="6" t="s">
        <v>59</v>
      </c>
      <c r="H101" s="6">
        <f>M101*0.9</f>
        <v>13.5</v>
      </c>
      <c r="I101" s="6" t="s">
        <v>60</v>
      </c>
      <c r="J101" s="6"/>
      <c r="K101" s="6"/>
      <c r="L101" s="6" t="s">
        <v>65</v>
      </c>
      <c r="M101" s="14">
        <v>15</v>
      </c>
      <c r="N101" s="6" t="s">
        <v>60</v>
      </c>
      <c r="O101" s="6">
        <v>0.06</v>
      </c>
      <c r="P101" s="10">
        <f>O101*M101</f>
        <v>0.8999999999999999</v>
      </c>
    </row>
    <row r="102" spans="5:16" ht="12.75">
      <c r="E102" s="3"/>
      <c r="F102" s="2"/>
      <c r="G102" s="2" t="s">
        <v>61</v>
      </c>
      <c r="H102" s="2">
        <v>66</v>
      </c>
      <c r="I102" s="2" t="s">
        <v>70</v>
      </c>
      <c r="J102" s="2"/>
      <c r="K102" s="2"/>
      <c r="L102" s="2" t="s">
        <v>66</v>
      </c>
      <c r="M102" s="2">
        <f>7*4-M101</f>
        <v>13</v>
      </c>
      <c r="N102" s="2" t="s">
        <v>60</v>
      </c>
      <c r="O102" s="2">
        <v>0.5</v>
      </c>
      <c r="P102" s="11">
        <f>O102*M102</f>
        <v>6.5</v>
      </c>
    </row>
    <row r="103" spans="5:16" ht="12.75">
      <c r="E103" s="3" t="s">
        <v>71</v>
      </c>
      <c r="F103" s="2"/>
      <c r="G103" s="2" t="s">
        <v>62</v>
      </c>
      <c r="H103" s="2">
        <v>0.73</v>
      </c>
      <c r="I103" s="2">
        <v>0.73</v>
      </c>
      <c r="J103" s="2"/>
      <c r="K103" s="2"/>
      <c r="L103" s="2" t="s">
        <v>67</v>
      </c>
      <c r="M103" s="2">
        <f>2*5*4+7*4</f>
        <v>68</v>
      </c>
      <c r="N103" s="2" t="s">
        <v>60</v>
      </c>
      <c r="O103" s="2">
        <v>0.5</v>
      </c>
      <c r="P103" s="11">
        <f>O103*M103</f>
        <v>34</v>
      </c>
    </row>
    <row r="104" spans="5:16" ht="12.75">
      <c r="E104" s="3"/>
      <c r="F104" s="2"/>
      <c r="G104" s="2" t="s">
        <v>63</v>
      </c>
      <c r="H104" s="2">
        <f>M106</f>
        <v>166</v>
      </c>
      <c r="I104" s="2" t="s">
        <v>60</v>
      </c>
      <c r="J104" s="2"/>
      <c r="K104" s="2"/>
      <c r="L104" s="2" t="s">
        <v>68</v>
      </c>
      <c r="M104" s="2">
        <f>7*5</f>
        <v>35</v>
      </c>
      <c r="N104" s="2" t="s">
        <v>60</v>
      </c>
      <c r="O104" s="2">
        <v>0.7</v>
      </c>
      <c r="P104" s="11">
        <f>O104*M104</f>
        <v>24.5</v>
      </c>
    </row>
    <row r="105" spans="5:16" ht="12.75">
      <c r="E105" s="3"/>
      <c r="F105" s="2"/>
      <c r="G105" s="2" t="s">
        <v>64</v>
      </c>
      <c r="H105" s="2">
        <f>M108</f>
        <v>0.4391566265060241</v>
      </c>
      <c r="I105" s="2"/>
      <c r="J105" s="2"/>
      <c r="K105" s="2"/>
      <c r="L105" s="2" t="s">
        <v>69</v>
      </c>
      <c r="M105" s="2">
        <f>7*5</f>
        <v>35</v>
      </c>
      <c r="N105" s="2" t="s">
        <v>60</v>
      </c>
      <c r="O105" s="2">
        <v>0.2</v>
      </c>
      <c r="P105" s="11">
        <f>O105*M105</f>
        <v>7</v>
      </c>
    </row>
    <row r="106" spans="5:16" ht="12.75">
      <c r="E106" s="3"/>
      <c r="F106" s="2"/>
      <c r="G106" s="2"/>
      <c r="H106" s="2"/>
      <c r="I106" s="2"/>
      <c r="J106" s="2"/>
      <c r="K106" s="2"/>
      <c r="L106" s="2"/>
      <c r="M106" s="2">
        <f>SUM(M101:M105)</f>
        <v>166</v>
      </c>
      <c r="N106" s="2"/>
      <c r="O106" s="2"/>
      <c r="P106" s="11">
        <f>SUM(P101:P105)</f>
        <v>72.9</v>
      </c>
    </row>
    <row r="107" spans="5:16" ht="12.75"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1"/>
    </row>
    <row r="108" spans="5:16" ht="13.5" thickBot="1">
      <c r="E108" s="4"/>
      <c r="F108" s="5"/>
      <c r="G108" s="5" t="s">
        <v>72</v>
      </c>
      <c r="H108" s="5">
        <f>(H101*H102*H103)/(H104*(1-H105^2))</f>
        <v>4.854481176930245</v>
      </c>
      <c r="I108" s="5" t="s">
        <v>73</v>
      </c>
      <c r="J108" s="5"/>
      <c r="K108" s="5"/>
      <c r="L108" s="5" t="s">
        <v>64</v>
      </c>
      <c r="M108" s="5">
        <f>P106/M106</f>
        <v>0.4391566265060241</v>
      </c>
      <c r="N108" s="5"/>
      <c r="O108" s="5"/>
      <c r="P108" s="12"/>
    </row>
    <row r="111" ht="13.5" thickBot="1"/>
    <row r="112" spans="7:15" ht="51.75" thickBot="1">
      <c r="G112" s="31" t="s">
        <v>74</v>
      </c>
      <c r="H112" s="32" t="s">
        <v>64</v>
      </c>
      <c r="I112" s="32" t="s">
        <v>75</v>
      </c>
      <c r="J112" s="32" t="s">
        <v>50</v>
      </c>
      <c r="K112" s="32" t="s">
        <v>76</v>
      </c>
      <c r="L112" s="33" t="s">
        <v>77</v>
      </c>
      <c r="M112" s="43" t="s">
        <v>78</v>
      </c>
      <c r="N112" s="34" t="s">
        <v>79</v>
      </c>
      <c r="O112" s="40" t="s">
        <v>80</v>
      </c>
    </row>
    <row r="113" spans="7:15" ht="13.5" thickBot="1">
      <c r="G113" s="1">
        <v>15</v>
      </c>
      <c r="H113" s="21">
        <f>H108</f>
        <v>4.854481176930245</v>
      </c>
      <c r="I113" s="21">
        <v>500</v>
      </c>
      <c r="J113" s="21">
        <v>21429</v>
      </c>
      <c r="K113" s="21"/>
      <c r="L113" s="22"/>
      <c r="M113" s="44"/>
      <c r="N113" s="35"/>
      <c r="O113" s="39"/>
    </row>
    <row r="114" spans="7:15" ht="13.5" thickBot="1">
      <c r="G114" s="27">
        <v>14</v>
      </c>
      <c r="H114" s="28">
        <f>H99</f>
        <v>4.543995014998347</v>
      </c>
      <c r="I114" s="28">
        <v>520</v>
      </c>
      <c r="J114" s="28">
        <v>22286</v>
      </c>
      <c r="K114" s="29">
        <f>J114/$J$114-1</f>
        <v>0</v>
      </c>
      <c r="L114" s="30">
        <v>0.15</v>
      </c>
      <c r="M114" s="45">
        <v>170402</v>
      </c>
      <c r="N114" s="37">
        <v>146949</v>
      </c>
      <c r="O114" s="42">
        <v>458821</v>
      </c>
    </row>
    <row r="115" spans="7:15" ht="12.75">
      <c r="G115" s="18">
        <v>13</v>
      </c>
      <c r="H115" s="19">
        <f>H90</f>
        <v>4.2317760050377995</v>
      </c>
      <c r="I115" s="19">
        <v>550</v>
      </c>
      <c r="J115" s="19">
        <v>23571</v>
      </c>
      <c r="K115" s="23">
        <f aca="true" t="shared" si="0" ref="K115:K121">J115/$J$114-1</f>
        <v>0.05765951718567708</v>
      </c>
      <c r="L115" s="20"/>
      <c r="M115" s="46"/>
      <c r="N115" s="36"/>
      <c r="O115" s="38"/>
    </row>
    <row r="116" spans="7:15" ht="12.75">
      <c r="G116" s="16">
        <v>12</v>
      </c>
      <c r="H116" s="8">
        <f>H81</f>
        <v>3.9177924340038484</v>
      </c>
      <c r="I116" s="8">
        <v>600</v>
      </c>
      <c r="J116" s="8">
        <v>25714</v>
      </c>
      <c r="K116" s="15">
        <f t="shared" si="0"/>
        <v>0.15381854078793866</v>
      </c>
      <c r="L116" s="17"/>
      <c r="M116" s="46"/>
      <c r="N116" s="36"/>
      <c r="O116" s="38"/>
    </row>
    <row r="117" spans="7:15" ht="12.75">
      <c r="G117" s="16">
        <v>11</v>
      </c>
      <c r="H117" s="8">
        <f>H72</f>
        <v>3.602012027685852</v>
      </c>
      <c r="I117" s="8">
        <v>650</v>
      </c>
      <c r="J117" s="8">
        <v>27857</v>
      </c>
      <c r="K117" s="15">
        <f t="shared" si="0"/>
        <v>0.24997756439020002</v>
      </c>
      <c r="L117" s="17"/>
      <c r="M117" s="46"/>
      <c r="N117" s="36"/>
      <c r="O117" s="38"/>
    </row>
    <row r="118" spans="7:15" ht="12.75">
      <c r="G118" s="16">
        <v>10</v>
      </c>
      <c r="H118" s="8">
        <f>H63</f>
        <v>3.2844019366681585</v>
      </c>
      <c r="I118" s="8">
        <v>700</v>
      </c>
      <c r="J118" s="8">
        <v>30000</v>
      </c>
      <c r="K118" s="15">
        <f t="shared" si="0"/>
        <v>0.3461365879924616</v>
      </c>
      <c r="L118" s="17"/>
      <c r="M118" s="46"/>
      <c r="N118" s="36"/>
      <c r="O118" s="38"/>
    </row>
    <row r="119" spans="7:15" ht="12.75">
      <c r="G119" s="16">
        <v>9</v>
      </c>
      <c r="H119" s="8">
        <f>H54</f>
        <v>2.9649287218862836</v>
      </c>
      <c r="I119" s="8">
        <v>730</v>
      </c>
      <c r="J119" s="8">
        <v>31286</v>
      </c>
      <c r="K119" s="15">
        <f t="shared" si="0"/>
        <v>0.4038409763977384</v>
      </c>
      <c r="L119" s="17"/>
      <c r="M119" s="46"/>
      <c r="N119" s="36"/>
      <c r="O119" s="38"/>
    </row>
    <row r="120" spans="7:15" ht="13.5" thickBot="1">
      <c r="G120" s="7">
        <v>8</v>
      </c>
      <c r="H120" s="24">
        <f>H45</f>
        <v>2.6435583397644833</v>
      </c>
      <c r="I120" s="24">
        <v>800</v>
      </c>
      <c r="J120" s="24">
        <v>34286</v>
      </c>
      <c r="K120" s="25">
        <f t="shared" si="0"/>
        <v>0.5384546351969846</v>
      </c>
      <c r="L120" s="26"/>
      <c r="M120" s="46"/>
      <c r="N120" s="36"/>
      <c r="O120" s="38"/>
    </row>
    <row r="121" spans="7:15" ht="13.5" thickBot="1">
      <c r="G121" s="27">
        <v>7</v>
      </c>
      <c r="H121" s="28">
        <f>H36</f>
        <v>2.3202561269202655</v>
      </c>
      <c r="I121" s="28">
        <v>850</v>
      </c>
      <c r="J121" s="28">
        <v>36429</v>
      </c>
      <c r="K121" s="29">
        <f t="shared" si="0"/>
        <v>0.6346136587992461</v>
      </c>
      <c r="L121" s="30">
        <v>0.18</v>
      </c>
      <c r="M121" s="45">
        <f>'Gesamtenergiebedarf '!C18</f>
        <v>131771.87485000002</v>
      </c>
      <c r="N121" s="37">
        <f>'Gesamtenergiebedarf '!C23</f>
        <v>117525.13200000001</v>
      </c>
      <c r="O121" s="42">
        <f>'Gesamtenergiebedarf '!C80</f>
        <v>421876</v>
      </c>
    </row>
    <row r="122" spans="13:15" ht="12.75">
      <c r="M122" s="41"/>
      <c r="N122" s="41"/>
      <c r="O122" s="41"/>
    </row>
    <row r="126" spans="7:12" ht="12.75">
      <c r="G126" t="s">
        <v>81</v>
      </c>
      <c r="I126" t="s">
        <v>82</v>
      </c>
      <c r="J126" s="47">
        <f>J121-J114</f>
        <v>14143</v>
      </c>
      <c r="K126" t="s">
        <v>83</v>
      </c>
      <c r="L126" t="s">
        <v>84</v>
      </c>
    </row>
    <row r="127" spans="9:12" ht="12.75">
      <c r="I127" t="s">
        <v>85</v>
      </c>
      <c r="J127" s="47">
        <f>O114-O121</f>
        <v>36945</v>
      </c>
      <c r="K127" t="s">
        <v>83</v>
      </c>
      <c r="L127" t="s">
        <v>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88"/>
  <sheetViews>
    <sheetView view="pageBreakPreview" zoomScale="60" workbookViewId="0" topLeftCell="A19">
      <selection activeCell="D16" sqref="D16"/>
    </sheetView>
  </sheetViews>
  <sheetFormatPr defaultColWidth="11.421875" defaultRowHeight="12.75"/>
  <cols>
    <col min="1" max="1" width="3.8515625" style="50" customWidth="1"/>
    <col min="2" max="2" width="56.7109375" style="50" customWidth="1"/>
    <col min="3" max="3" width="17.57421875" style="50" customWidth="1"/>
    <col min="4" max="4" width="14.57421875" style="50" customWidth="1"/>
    <col min="5" max="5" width="23.140625" style="50" customWidth="1"/>
    <col min="6" max="6" width="15.57421875" style="50" customWidth="1"/>
    <col min="7" max="7" width="8.7109375" style="50" customWidth="1"/>
    <col min="8" max="8" width="6.00390625" style="50" customWidth="1"/>
    <col min="9" max="9" width="31.00390625" style="50" customWidth="1"/>
    <col min="10" max="10" width="21.8515625" style="50" customWidth="1"/>
    <col min="11" max="11" width="10.140625" style="50" customWidth="1"/>
    <col min="12" max="15" width="8.7109375" style="50" customWidth="1"/>
    <col min="16" max="16" width="7.8515625" style="50" customWidth="1"/>
    <col min="17" max="17" width="7.7109375" style="50" customWidth="1"/>
    <col min="18" max="18" width="10.7109375" style="50" customWidth="1"/>
    <col min="19" max="19" width="7.7109375" style="50" customWidth="1"/>
    <col min="20" max="20" width="4.421875" style="50" customWidth="1"/>
    <col min="21" max="21" width="38.7109375" style="50" customWidth="1"/>
    <col min="22" max="22" width="15.8515625" style="50" customWidth="1"/>
    <col min="23" max="25" width="7.7109375" style="50" customWidth="1"/>
    <col min="26" max="26" width="4.7109375" style="50" customWidth="1"/>
    <col min="27" max="27" width="38.7109375" style="50" customWidth="1"/>
    <col min="28" max="28" width="15.57421875" style="50" customWidth="1"/>
    <col min="29" max="31" width="7.7109375" style="50" customWidth="1"/>
    <col min="32" max="32" width="4.57421875" style="50" customWidth="1"/>
    <col min="33" max="33" width="36.8515625" style="50" customWidth="1"/>
    <col min="34" max="34" width="15.28125" style="50" customWidth="1"/>
    <col min="35" max="37" width="7.7109375" style="50" customWidth="1"/>
    <col min="38" max="16384" width="11.421875" style="50" customWidth="1"/>
  </cols>
  <sheetData>
    <row r="2" ht="12.75">
      <c r="B2" s="49" t="s">
        <v>25</v>
      </c>
    </row>
    <row r="3" spans="2:3" ht="12.75">
      <c r="B3" s="51" t="s">
        <v>28</v>
      </c>
      <c r="C3" s="52"/>
    </row>
    <row r="4" spans="2:3" ht="12.75">
      <c r="B4" s="51" t="s">
        <v>29</v>
      </c>
      <c r="C4" s="51"/>
    </row>
    <row r="5" spans="2:3" ht="12.75">
      <c r="B5" s="51" t="s">
        <v>26</v>
      </c>
      <c r="C5" s="53"/>
    </row>
    <row r="7" spans="2:3" ht="12.75">
      <c r="B7" s="49" t="s">
        <v>52</v>
      </c>
      <c r="C7" s="49"/>
    </row>
    <row r="8" ht="13.5" thickBot="1"/>
    <row r="9" spans="2:16" ht="25.5" customHeight="1" thickBot="1">
      <c r="B9" s="54" t="s">
        <v>0</v>
      </c>
      <c r="C9" s="55"/>
      <c r="D9" s="56"/>
      <c r="E9" s="56"/>
      <c r="F9" s="56"/>
      <c r="G9" s="56"/>
      <c r="O9" s="56"/>
      <c r="P9" s="56"/>
    </row>
    <row r="10" spans="2:3" ht="15.75" customHeight="1">
      <c r="B10" s="128"/>
      <c r="C10" s="129" t="s">
        <v>1</v>
      </c>
    </row>
    <row r="11" spans="2:3" ht="14.25">
      <c r="B11" s="58" t="s">
        <v>87</v>
      </c>
      <c r="C11" s="59">
        <f>'[1]Summe_Wärme'!$C$6</f>
        <v>4200</v>
      </c>
    </row>
    <row r="12" spans="2:3" ht="14.25">
      <c r="B12" s="58" t="s">
        <v>88</v>
      </c>
      <c r="C12" s="59">
        <f>'[1]Summe_Wärme'!$C$7</f>
        <v>5040</v>
      </c>
    </row>
    <row r="13" spans="2:3" ht="14.25">
      <c r="B13" s="58" t="s">
        <v>89</v>
      </c>
      <c r="C13" s="59">
        <f>'[1]Summe_Wärme'!$C$8</f>
        <v>31080</v>
      </c>
    </row>
    <row r="14" spans="2:4" ht="15.75">
      <c r="B14" s="58" t="s">
        <v>90</v>
      </c>
      <c r="C14" s="60">
        <f>'[1]Summe_Wärme'!$C$9</f>
        <v>21756</v>
      </c>
      <c r="D14" s="50" t="s">
        <v>121</v>
      </c>
    </row>
    <row r="15" spans="2:3" ht="13.5" thickBot="1">
      <c r="B15" s="61" t="s">
        <v>47</v>
      </c>
      <c r="C15" s="62">
        <v>2</v>
      </c>
    </row>
    <row r="16" spans="2:3" ht="13.5" thickBot="1">
      <c r="B16" s="63"/>
      <c r="C16" s="64"/>
    </row>
    <row r="17" spans="2:3" ht="25.5" customHeight="1" thickBot="1">
      <c r="B17" s="54" t="s">
        <v>32</v>
      </c>
      <c r="C17" s="55"/>
    </row>
    <row r="18" spans="2:4" ht="12.75">
      <c r="B18" s="65" t="s">
        <v>22</v>
      </c>
      <c r="C18" s="66">
        <f>'[1]Summe_Wärme'!$C$37</f>
        <v>131771.87485000002</v>
      </c>
      <c r="D18" s="50" t="s">
        <v>40</v>
      </c>
    </row>
    <row r="19" spans="2:3" ht="15.75">
      <c r="B19" s="67" t="s">
        <v>91</v>
      </c>
      <c r="C19" s="68">
        <f>IF(C11=0,0,C18/C11)</f>
        <v>31.374255916666673</v>
      </c>
    </row>
    <row r="20" spans="2:3" ht="16.5" thickBot="1">
      <c r="B20" s="69" t="s">
        <v>92</v>
      </c>
      <c r="C20" s="70">
        <f>IF(C12=0,0,C18/C12)</f>
        <v>26.145213263888895</v>
      </c>
    </row>
    <row r="21" spans="2:3" ht="13.5" thickBot="1">
      <c r="B21" s="63"/>
      <c r="C21" s="64"/>
    </row>
    <row r="22" spans="2:3" ht="27" customHeight="1" thickBot="1">
      <c r="B22" s="54" t="s">
        <v>21</v>
      </c>
      <c r="C22" s="55"/>
    </row>
    <row r="23" spans="2:4" ht="12.75">
      <c r="B23" s="65" t="s">
        <v>22</v>
      </c>
      <c r="C23" s="66">
        <f>'[1]Summe_Kühl'!$C$53</f>
        <v>117525.13200000001</v>
      </c>
      <c r="D23" s="50" t="s">
        <v>41</v>
      </c>
    </row>
    <row r="24" spans="2:3" ht="15.75">
      <c r="B24" s="67" t="s">
        <v>91</v>
      </c>
      <c r="C24" s="71">
        <f>IF(C11=0,0,C23/C11)</f>
        <v>27.98217428571429</v>
      </c>
    </row>
    <row r="25" spans="2:3" ht="16.5" thickBot="1">
      <c r="B25" s="69" t="s">
        <v>92</v>
      </c>
      <c r="C25" s="72">
        <f>IF(C12=0,0,C23/C12)</f>
        <v>23.318478571428574</v>
      </c>
    </row>
    <row r="26" spans="2:3" ht="13.5" thickBot="1">
      <c r="B26" s="63"/>
      <c r="C26" s="64"/>
    </row>
    <row r="27" spans="2:3" ht="36" customHeight="1" thickBot="1">
      <c r="B27" s="54" t="s">
        <v>33</v>
      </c>
      <c r="C27" s="55"/>
    </row>
    <row r="28" spans="2:3" ht="15.75" customHeight="1">
      <c r="B28" s="58" t="s">
        <v>93</v>
      </c>
      <c r="C28" s="73">
        <v>4.2</v>
      </c>
    </row>
    <row r="29" spans="2:3" ht="15" customHeight="1">
      <c r="B29" s="67" t="s">
        <v>39</v>
      </c>
      <c r="C29" s="74">
        <v>1</v>
      </c>
    </row>
    <row r="30" spans="2:3" ht="12.75">
      <c r="B30" s="58" t="s">
        <v>38</v>
      </c>
      <c r="C30" s="75">
        <v>400</v>
      </c>
    </row>
    <row r="31" spans="2:3" ht="12.75">
      <c r="B31" s="67" t="s">
        <v>48</v>
      </c>
      <c r="C31" s="76">
        <v>10</v>
      </c>
    </row>
    <row r="32" spans="2:3" ht="13.5" thickBot="1">
      <c r="B32" s="69" t="s">
        <v>49</v>
      </c>
      <c r="C32" s="77">
        <v>260</v>
      </c>
    </row>
    <row r="33" spans="2:3" ht="15.75">
      <c r="B33" s="78" t="s">
        <v>94</v>
      </c>
      <c r="C33" s="79">
        <f>C28*C29*(40-10)*C30*C31*C32/3600</f>
        <v>36400</v>
      </c>
    </row>
    <row r="34" spans="2:3" ht="15.75">
      <c r="B34" s="67" t="s">
        <v>95</v>
      </c>
      <c r="C34" s="80">
        <f>IF(C11=0,0,C33/C11)</f>
        <v>8.666666666666666</v>
      </c>
    </row>
    <row r="35" spans="2:3" ht="16.5" thickBot="1">
      <c r="B35" s="69" t="s">
        <v>96</v>
      </c>
      <c r="C35" s="70">
        <f>IF(C12=0,0,C33/C12)</f>
        <v>7.222222222222222</v>
      </c>
    </row>
    <row r="36" spans="2:3" ht="13.5" thickBot="1">
      <c r="B36" s="63"/>
      <c r="C36" s="64"/>
    </row>
    <row r="37" spans="2:3" ht="27.75" customHeight="1" thickBot="1">
      <c r="B37" s="54" t="s">
        <v>34</v>
      </c>
      <c r="C37" s="55"/>
    </row>
    <row r="38" spans="2:3" ht="18" customHeight="1">
      <c r="B38" s="65" t="s">
        <v>45</v>
      </c>
      <c r="C38" s="57">
        <v>2.4</v>
      </c>
    </row>
    <row r="39" spans="2:3" ht="15.75">
      <c r="B39" s="81" t="s">
        <v>97</v>
      </c>
      <c r="C39" s="71">
        <f>C38*C14*C15/3.6</f>
        <v>29008</v>
      </c>
    </row>
    <row r="40" spans="2:4" ht="16.5" customHeight="1">
      <c r="B40" s="58" t="s">
        <v>46</v>
      </c>
      <c r="C40" s="82">
        <v>3100</v>
      </c>
      <c r="D40" s="50" t="s">
        <v>43</v>
      </c>
    </row>
    <row r="41" spans="2:3" ht="15.75">
      <c r="B41" s="67" t="s">
        <v>98</v>
      </c>
      <c r="C41" s="71">
        <f>C39*C40/1000</f>
        <v>89924.8</v>
      </c>
    </row>
    <row r="42" spans="2:3" ht="15.75" customHeight="1">
      <c r="B42" s="83" t="s">
        <v>99</v>
      </c>
      <c r="C42" s="71">
        <f>IF(C11=0,0,C41/C11)</f>
        <v>21.410666666666668</v>
      </c>
    </row>
    <row r="43" spans="2:3" ht="15.75" customHeight="1" thickBot="1">
      <c r="B43" s="61" t="s">
        <v>100</v>
      </c>
      <c r="C43" s="72">
        <f>IF(C12=0,0,C41/C12)</f>
        <v>17.842222222222222</v>
      </c>
    </row>
    <row r="44" ht="14.25" customHeight="1" thickBot="1"/>
    <row r="45" spans="2:3" ht="27.75" customHeight="1" thickBot="1">
      <c r="B45" s="54" t="s">
        <v>44</v>
      </c>
      <c r="C45" s="55"/>
    </row>
    <row r="46" spans="2:3" ht="15.75" customHeight="1">
      <c r="B46" s="138" t="s">
        <v>35</v>
      </c>
      <c r="C46" s="139"/>
    </row>
    <row r="47" spans="2:3" ht="44.25" customHeight="1">
      <c r="B47" s="140" t="s">
        <v>37</v>
      </c>
      <c r="C47" s="141"/>
    </row>
    <row r="48" spans="2:3" ht="15.75" customHeight="1">
      <c r="B48" s="83" t="s">
        <v>42</v>
      </c>
      <c r="C48" s="126">
        <f>Sheet1!H15</f>
        <v>2.3202561269202655</v>
      </c>
    </row>
    <row r="49" spans="2:3" ht="15.75" customHeight="1">
      <c r="B49" s="83" t="s">
        <v>101</v>
      </c>
      <c r="C49" s="127">
        <v>850</v>
      </c>
    </row>
    <row r="50" spans="2:6" ht="15.75" customHeight="1">
      <c r="B50" s="67" t="s">
        <v>102</v>
      </c>
      <c r="C50" s="59">
        <f>F61</f>
        <v>2857.1428571428573</v>
      </c>
      <c r="E50" s="48" t="s">
        <v>53</v>
      </c>
      <c r="F50" s="48">
        <v>4000</v>
      </c>
    </row>
    <row r="51" spans="2:6" ht="15.75" customHeight="1">
      <c r="B51" s="67" t="s">
        <v>103</v>
      </c>
      <c r="C51" s="85">
        <v>15</v>
      </c>
      <c r="E51" s="48" t="s">
        <v>54</v>
      </c>
      <c r="F51" s="48">
        <v>35</v>
      </c>
    </row>
    <row r="52" spans="2:6" ht="15" customHeight="1" thickBot="1">
      <c r="B52" s="83" t="s">
        <v>50</v>
      </c>
      <c r="C52" s="72">
        <f>C49*C50*C51/1000</f>
        <v>36428.571428571435</v>
      </c>
      <c r="E52" s="48"/>
      <c r="F52" s="48">
        <f>F50/F51</f>
        <v>114.28571428571429</v>
      </c>
    </row>
    <row r="53" spans="2:6" ht="17.25" customHeight="1">
      <c r="B53" s="138" t="s">
        <v>36</v>
      </c>
      <c r="C53" s="139"/>
      <c r="E53" s="48"/>
      <c r="F53" s="48"/>
    </row>
    <row r="54" spans="2:15" ht="15.75" customHeight="1">
      <c r="B54" s="83" t="s">
        <v>104</v>
      </c>
      <c r="C54" s="59">
        <v>2860</v>
      </c>
      <c r="E54" s="48" t="s">
        <v>56</v>
      </c>
      <c r="F54" s="48">
        <v>5</v>
      </c>
      <c r="O54" s="63"/>
    </row>
    <row r="55" spans="2:6" ht="15.75" customHeight="1">
      <c r="B55" s="67" t="s">
        <v>105</v>
      </c>
      <c r="C55" s="59">
        <f>F60</f>
        <v>1142.857142857143</v>
      </c>
      <c r="E55" s="48" t="s">
        <v>55</v>
      </c>
      <c r="F55" s="48">
        <v>5</v>
      </c>
    </row>
    <row r="56" spans="2:8" ht="16.5" customHeight="1">
      <c r="B56" s="67" t="s">
        <v>103</v>
      </c>
      <c r="C56" s="60">
        <v>15</v>
      </c>
      <c r="E56" s="48" t="s">
        <v>57</v>
      </c>
      <c r="F56" s="48">
        <f>F54*F55</f>
        <v>25</v>
      </c>
      <c r="G56" s="50">
        <v>1555875</v>
      </c>
      <c r="H56" s="50">
        <f>G56*0.05</f>
        <v>77793.75</v>
      </c>
    </row>
    <row r="57" spans="2:6" ht="16.5" customHeight="1" thickBot="1">
      <c r="B57" s="61" t="s">
        <v>51</v>
      </c>
      <c r="C57" s="72">
        <f>C54*C55*C56/1000</f>
        <v>49028.571428571435</v>
      </c>
      <c r="E57" s="48"/>
      <c r="F57" s="48"/>
    </row>
    <row r="58" spans="2:6" ht="18" customHeight="1">
      <c r="B58" s="86" t="s">
        <v>106</v>
      </c>
      <c r="C58" s="87">
        <f>C52+C57+F52+F57</f>
        <v>85571.42857142858</v>
      </c>
      <c r="E58" s="48" t="s">
        <v>58</v>
      </c>
      <c r="F58" s="48">
        <f>F51-F56</f>
        <v>10</v>
      </c>
    </row>
    <row r="59" spans="2:6" ht="16.5" customHeight="1">
      <c r="B59" s="83" t="s">
        <v>107</v>
      </c>
      <c r="C59" s="88">
        <f>IF(C11=0,0,C58/C11)</f>
        <v>20.37414965986395</v>
      </c>
      <c r="E59" s="48"/>
      <c r="F59" s="48"/>
    </row>
    <row r="60" spans="2:6" ht="16.5" customHeight="1" thickBot="1">
      <c r="B60" s="61" t="s">
        <v>108</v>
      </c>
      <c r="C60" s="89">
        <f>IF(C12=0,0,C58/C12)</f>
        <v>16.978458049886623</v>
      </c>
      <c r="E60" s="48"/>
      <c r="F60" s="48">
        <f>F58*F52</f>
        <v>1142.857142857143</v>
      </c>
    </row>
    <row r="61" spans="5:6" ht="17.25" customHeight="1">
      <c r="E61" s="48"/>
      <c r="F61" s="48">
        <f>F56*F52</f>
        <v>2857.1428571428573</v>
      </c>
    </row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0" spans="2:5" ht="12.75">
      <c r="B80" s="90"/>
      <c r="C80" s="90">
        <v>421876</v>
      </c>
      <c r="D80" s="90">
        <v>421876</v>
      </c>
      <c r="E80" s="91">
        <f>D80/C80</f>
        <v>1</v>
      </c>
    </row>
    <row r="81" spans="3:5" ht="12.75">
      <c r="C81" s="90">
        <v>421876</v>
      </c>
      <c r="D81" s="92">
        <f>C58</f>
        <v>85571.42857142858</v>
      </c>
      <c r="E81" s="91">
        <f>D81/C81</f>
        <v>0.20283549804072423</v>
      </c>
    </row>
    <row r="82" spans="3:5" ht="12.75" customHeight="1">
      <c r="C82" s="90">
        <v>421876</v>
      </c>
      <c r="D82" s="92">
        <f>C41</f>
        <v>89924.8</v>
      </c>
      <c r="E82" s="91">
        <f>D82/C82</f>
        <v>0.2131545762261897</v>
      </c>
    </row>
    <row r="83" spans="3:5" ht="12.75">
      <c r="C83" s="90">
        <v>421876</v>
      </c>
      <c r="D83" s="92">
        <f>C23</f>
        <v>117525.13200000001</v>
      </c>
      <c r="E83" s="91">
        <f>D83/C83</f>
        <v>0.27857743033498</v>
      </c>
    </row>
    <row r="84" spans="3:5" ht="12.75">
      <c r="C84" s="90">
        <v>421876</v>
      </c>
      <c r="D84" s="92">
        <f>C18</f>
        <v>131771.87485000002</v>
      </c>
      <c r="E84" s="91">
        <f>D84/C84</f>
        <v>0.3123474074135528</v>
      </c>
    </row>
    <row r="85" ht="12.75">
      <c r="C85" s="90">
        <v>421876</v>
      </c>
    </row>
    <row r="86" ht="12.75" customHeight="1">
      <c r="C86" s="90">
        <v>421876</v>
      </c>
    </row>
    <row r="87" ht="12.75">
      <c r="C87" s="90">
        <v>421876</v>
      </c>
    </row>
    <row r="88" ht="12.75">
      <c r="C88" s="90">
        <v>421876</v>
      </c>
    </row>
    <row r="89" ht="12.75">
      <c r="C89" s="90">
        <v>421876</v>
      </c>
    </row>
    <row r="90" ht="12.75" customHeight="1">
      <c r="C90" s="90">
        <v>421876</v>
      </c>
    </row>
    <row r="91" ht="12.75">
      <c r="C91" s="90">
        <v>421876</v>
      </c>
    </row>
    <row r="98" ht="12.75" customHeight="1"/>
    <row r="103" ht="12.75">
      <c r="C103" s="49" t="s">
        <v>27</v>
      </c>
    </row>
    <row r="104" ht="13.5" thickBot="1"/>
    <row r="105" spans="2:7" ht="14.25">
      <c r="B105" s="56"/>
      <c r="C105" s="93" t="s">
        <v>109</v>
      </c>
      <c r="D105" s="94"/>
      <c r="E105" s="95"/>
      <c r="F105" s="56"/>
      <c r="G105" s="56"/>
    </row>
    <row r="106" spans="3:8" ht="12.75">
      <c r="C106" s="132" t="s">
        <v>30</v>
      </c>
      <c r="D106" s="134" t="s">
        <v>2</v>
      </c>
      <c r="E106" s="136" t="s">
        <v>3</v>
      </c>
      <c r="H106" s="56"/>
    </row>
    <row r="107" spans="3:5" ht="12.75">
      <c r="C107" s="133"/>
      <c r="D107" s="135"/>
      <c r="E107" s="137"/>
    </row>
    <row r="108" spans="3:5" ht="13.5" thickBot="1">
      <c r="C108" s="96">
        <v>600</v>
      </c>
      <c r="D108" s="97">
        <v>80</v>
      </c>
      <c r="E108" s="77">
        <v>600</v>
      </c>
    </row>
    <row r="109" ht="12.75">
      <c r="C109" s="98" t="s">
        <v>31</v>
      </c>
    </row>
    <row r="110" ht="13.5" thickBot="1"/>
    <row r="111" spans="3:4" ht="12.75">
      <c r="C111" s="99" t="s">
        <v>4</v>
      </c>
      <c r="D111" s="95"/>
    </row>
    <row r="112" spans="3:4" ht="12.75">
      <c r="C112" s="100" t="s">
        <v>5</v>
      </c>
      <c r="D112" s="101">
        <v>0.95</v>
      </c>
    </row>
    <row r="113" spans="3:4" ht="12.75">
      <c r="C113" s="102" t="s">
        <v>6</v>
      </c>
      <c r="D113" s="101">
        <v>0.9</v>
      </c>
    </row>
    <row r="114" spans="3:4" ht="13.5" thickBot="1">
      <c r="C114" s="103" t="s">
        <v>7</v>
      </c>
      <c r="D114" s="104">
        <v>0.85</v>
      </c>
    </row>
    <row r="115" ht="13.5" thickBot="1"/>
    <row r="116" spans="3:7" ht="14.25">
      <c r="C116" s="84" t="s">
        <v>110</v>
      </c>
      <c r="D116" s="105"/>
      <c r="E116" s="106"/>
      <c r="F116" s="107"/>
      <c r="G116" s="105"/>
    </row>
    <row r="117" spans="3:7" ht="14.25">
      <c r="C117" s="108" t="s">
        <v>111</v>
      </c>
      <c r="D117" s="109"/>
      <c r="E117" s="108" t="s">
        <v>112</v>
      </c>
      <c r="F117" s="110"/>
      <c r="G117" s="109"/>
    </row>
    <row r="118" spans="3:7" ht="12.75">
      <c r="C118" s="83" t="s">
        <v>8</v>
      </c>
      <c r="D118" s="75">
        <v>0.9</v>
      </c>
      <c r="E118" s="83" t="s">
        <v>9</v>
      </c>
      <c r="F118" s="63"/>
      <c r="G118" s="75">
        <v>0.15</v>
      </c>
    </row>
    <row r="119" spans="3:7" ht="12.75">
      <c r="C119" s="83" t="s">
        <v>10</v>
      </c>
      <c r="D119" s="75">
        <v>0.55</v>
      </c>
      <c r="E119" s="83" t="s">
        <v>11</v>
      </c>
      <c r="F119" s="63"/>
      <c r="G119" s="75">
        <v>0.3</v>
      </c>
    </row>
    <row r="120" spans="3:7" ht="13.5" thickBot="1">
      <c r="C120" s="61"/>
      <c r="D120" s="77"/>
      <c r="E120" s="61" t="s">
        <v>12</v>
      </c>
      <c r="F120" s="111"/>
      <c r="G120" s="77">
        <v>0.7</v>
      </c>
    </row>
    <row r="121" ht="12.75">
      <c r="G121" s="63"/>
    </row>
    <row r="122" ht="13.5" thickBot="1">
      <c r="H122" s="63"/>
    </row>
    <row r="123" spans="3:4" ht="12.75">
      <c r="C123" s="130" t="s">
        <v>113</v>
      </c>
      <c r="D123" s="131"/>
    </row>
    <row r="124" spans="3:4" ht="12.75">
      <c r="C124" s="100" t="s">
        <v>13</v>
      </c>
      <c r="D124" s="112">
        <v>55</v>
      </c>
    </row>
    <row r="125" spans="2:4" ht="12.75">
      <c r="B125" s="63"/>
      <c r="C125" s="102" t="s">
        <v>14</v>
      </c>
      <c r="D125" s="112">
        <v>60</v>
      </c>
    </row>
    <row r="126" spans="3:4" ht="13.5" thickBot="1">
      <c r="C126" s="103" t="s">
        <v>15</v>
      </c>
      <c r="D126" s="113">
        <v>88</v>
      </c>
    </row>
    <row r="127" spans="2:4" ht="13.5" thickBot="1">
      <c r="B127" s="114"/>
      <c r="C127" s="115"/>
      <c r="D127" s="115"/>
    </row>
    <row r="128" spans="2:4" ht="12.75">
      <c r="B128" s="114"/>
      <c r="C128" s="130" t="s">
        <v>114</v>
      </c>
      <c r="D128" s="131"/>
    </row>
    <row r="129" spans="2:4" ht="13.5" thickBot="1">
      <c r="B129" s="114"/>
      <c r="C129" s="116" t="s">
        <v>20</v>
      </c>
      <c r="D129" s="113">
        <v>45</v>
      </c>
    </row>
    <row r="130" ht="12.75">
      <c r="B130" s="114"/>
    </row>
    <row r="131" ht="12.75">
      <c r="B131" s="63"/>
    </row>
    <row r="132" ht="12.75">
      <c r="B132" s="63"/>
    </row>
    <row r="133" ht="13.5" thickBot="1"/>
    <row r="134" spans="3:6" ht="13.5">
      <c r="C134" s="130" t="s">
        <v>115</v>
      </c>
      <c r="D134" s="142"/>
      <c r="E134" s="142"/>
      <c r="F134" s="131"/>
    </row>
    <row r="135" spans="3:6" ht="12.75">
      <c r="C135" s="117"/>
      <c r="D135" s="118" t="s">
        <v>23</v>
      </c>
      <c r="E135" s="143" t="s">
        <v>24</v>
      </c>
      <c r="F135" s="144"/>
    </row>
    <row r="136" spans="3:6" ht="12.75">
      <c r="C136" s="100" t="s">
        <v>16</v>
      </c>
      <c r="D136" s="120">
        <v>280</v>
      </c>
      <c r="E136" s="145">
        <v>220</v>
      </c>
      <c r="F136" s="146"/>
    </row>
    <row r="137" spans="3:6" ht="12.75">
      <c r="C137" s="83" t="s">
        <v>17</v>
      </c>
      <c r="D137" s="121">
        <v>280</v>
      </c>
      <c r="E137" s="145">
        <v>220</v>
      </c>
      <c r="F137" s="146"/>
    </row>
    <row r="138" spans="3:6" ht="12.75">
      <c r="C138" s="102" t="s">
        <v>18</v>
      </c>
      <c r="D138" s="120">
        <v>600</v>
      </c>
      <c r="E138" s="145">
        <v>480</v>
      </c>
      <c r="F138" s="146"/>
    </row>
    <row r="139" spans="3:6" ht="13.5" thickBot="1">
      <c r="C139" s="103" t="s">
        <v>19</v>
      </c>
      <c r="D139" s="122">
        <v>2300</v>
      </c>
      <c r="E139" s="147">
        <v>1800</v>
      </c>
      <c r="F139" s="148"/>
    </row>
    <row r="142" ht="13.5" thickBot="1"/>
    <row r="143" spans="3:6" ht="12.75">
      <c r="C143" s="130" t="s">
        <v>116</v>
      </c>
      <c r="D143" s="142"/>
      <c r="E143" s="142"/>
      <c r="F143" s="131"/>
    </row>
    <row r="144" spans="3:6" ht="12.75">
      <c r="C144" s="117"/>
      <c r="D144" s="124"/>
      <c r="E144" s="118" t="s">
        <v>23</v>
      </c>
      <c r="F144" s="119" t="s">
        <v>24</v>
      </c>
    </row>
    <row r="145" spans="3:6" ht="14.25">
      <c r="C145" s="100" t="s">
        <v>117</v>
      </c>
      <c r="E145" s="121">
        <v>5</v>
      </c>
      <c r="F145" s="75">
        <v>2.5</v>
      </c>
    </row>
    <row r="146" spans="3:6" ht="14.25">
      <c r="C146" s="102" t="s">
        <v>118</v>
      </c>
      <c r="E146" s="121">
        <v>15</v>
      </c>
      <c r="F146" s="75">
        <v>5</v>
      </c>
    </row>
    <row r="147" spans="3:6" ht="15" thickBot="1">
      <c r="C147" s="103" t="s">
        <v>119</v>
      </c>
      <c r="D147" s="125"/>
      <c r="E147" s="123">
        <v>2.5</v>
      </c>
      <c r="F147" s="77">
        <v>1</v>
      </c>
    </row>
    <row r="178" ht="12.75" customHeight="1"/>
    <row r="187" spans="3:5" ht="12.75">
      <c r="C187" s="50" t="s">
        <v>52</v>
      </c>
      <c r="D187" s="90">
        <f>C80</f>
        <v>421876</v>
      </c>
      <c r="E187" s="91">
        <v>1</v>
      </c>
    </row>
    <row r="188" spans="3:5" ht="12.75">
      <c r="C188" s="50" t="s">
        <v>120</v>
      </c>
      <c r="D188" s="90">
        <f>'[2]Berechnung_Photovoltaik'!$E$56</f>
        <v>488012.00000000006</v>
      </c>
      <c r="E188" s="91">
        <f>D188/D187</f>
        <v>1.1567664432202829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fitToHeight="1" fitToWidth="1" horizontalDpi="600" verticalDpi="600" orientation="portrait" paperSize="9" scale="76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Belinda</cp:lastModifiedBy>
  <cp:lastPrinted>2008-06-04T14:12:35Z</cp:lastPrinted>
  <dcterms:created xsi:type="dcterms:W3CDTF">2008-03-26T10:24:09Z</dcterms:created>
  <dcterms:modified xsi:type="dcterms:W3CDTF">2008-06-04T14:59:33Z</dcterms:modified>
  <cp:category/>
  <cp:version/>
  <cp:contentType/>
  <cp:contentStatus/>
</cp:coreProperties>
</file>